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30" windowWidth="19635" windowHeight="744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C36" i="1" l="1"/>
  <c r="C34" i="1"/>
  <c r="C35" i="1"/>
  <c r="C38" i="1" s="1"/>
  <c r="B40" i="1" s="1"/>
  <c r="B23" i="1"/>
  <c r="C26" i="1"/>
  <c r="D26" i="1"/>
  <c r="E26" i="1"/>
  <c r="F26" i="1"/>
  <c r="G26" i="1"/>
  <c r="H26" i="1"/>
  <c r="I26" i="1"/>
  <c r="J26" i="1"/>
  <c r="K26" i="1"/>
  <c r="L26" i="1"/>
  <c r="M26" i="1"/>
  <c r="C25" i="1"/>
  <c r="D25" i="1"/>
  <c r="E25" i="1"/>
  <c r="F25" i="1"/>
  <c r="G25" i="1"/>
  <c r="H25" i="1"/>
  <c r="I25" i="1"/>
  <c r="J25" i="1"/>
  <c r="K25" i="1"/>
  <c r="L25" i="1"/>
  <c r="M25" i="1"/>
  <c r="B25" i="1"/>
  <c r="C7" i="1"/>
  <c r="D7" i="1"/>
  <c r="E7" i="1"/>
  <c r="F7" i="1"/>
  <c r="G7" i="1"/>
  <c r="H7" i="1"/>
  <c r="I7" i="1"/>
  <c r="J7" i="1"/>
  <c r="K7" i="1"/>
  <c r="L7" i="1"/>
  <c r="M7" i="1"/>
  <c r="B7" i="1"/>
  <c r="N6" i="1"/>
  <c r="M17" i="1"/>
  <c r="L17" i="1"/>
  <c r="K17" i="1"/>
  <c r="J17" i="1"/>
  <c r="I17" i="1"/>
  <c r="H17" i="1"/>
  <c r="G17" i="1"/>
  <c r="F17" i="1"/>
  <c r="E17" i="1"/>
  <c r="D17" i="1"/>
  <c r="C17" i="1"/>
  <c r="B17" i="1"/>
  <c r="N16" i="1"/>
  <c r="M15" i="1"/>
  <c r="L15" i="1"/>
  <c r="L18" i="1" s="1"/>
  <c r="K15" i="1"/>
  <c r="K18" i="1" s="1"/>
  <c r="J15" i="1"/>
  <c r="I15" i="1"/>
  <c r="H15" i="1"/>
  <c r="H18" i="1" s="1"/>
  <c r="G15" i="1"/>
  <c r="G18" i="1" s="1"/>
  <c r="F15" i="1"/>
  <c r="E15" i="1"/>
  <c r="D15" i="1"/>
  <c r="D18" i="1" s="1"/>
  <c r="C15" i="1"/>
  <c r="C18" i="1" s="1"/>
  <c r="B15" i="1"/>
  <c r="N14" i="1"/>
  <c r="M11" i="1"/>
  <c r="L11" i="1"/>
  <c r="K11" i="1"/>
  <c r="J11" i="1"/>
  <c r="I11" i="1"/>
  <c r="H11" i="1"/>
  <c r="G11" i="1"/>
  <c r="F11" i="1"/>
  <c r="E11" i="1"/>
  <c r="D11" i="1"/>
  <c r="C11" i="1"/>
  <c r="B11" i="1"/>
  <c r="N10" i="1"/>
  <c r="M9" i="1"/>
  <c r="L9" i="1"/>
  <c r="K9" i="1"/>
  <c r="J9" i="1"/>
  <c r="I9" i="1"/>
  <c r="H9" i="1"/>
  <c r="G9" i="1"/>
  <c r="F9" i="1"/>
  <c r="E9" i="1"/>
  <c r="D9" i="1"/>
  <c r="C9" i="1"/>
  <c r="B9" i="1"/>
  <c r="N8" i="1"/>
  <c r="L12" i="1" l="1"/>
  <c r="H12" i="1"/>
  <c r="D12" i="1"/>
  <c r="D20" i="1" s="1"/>
  <c r="D22" i="1" s="1"/>
  <c r="K12" i="1"/>
  <c r="K20" i="1" s="1"/>
  <c r="K22" i="1" s="1"/>
  <c r="G12" i="1"/>
  <c r="C12" i="1"/>
  <c r="B12" i="1"/>
  <c r="J12" i="1"/>
  <c r="F12" i="1"/>
  <c r="M12" i="1"/>
  <c r="I12" i="1"/>
  <c r="E12" i="1"/>
  <c r="D23" i="1"/>
  <c r="K23" i="1"/>
  <c r="L20" i="1"/>
  <c r="L22" i="1" s="1"/>
  <c r="H20" i="1"/>
  <c r="H22" i="1" s="1"/>
  <c r="G20" i="1"/>
  <c r="G22" i="1" s="1"/>
  <c r="C20" i="1"/>
  <c r="C22" i="1" s="1"/>
  <c r="B18" i="1"/>
  <c r="B20" i="1" s="1"/>
  <c r="F18" i="1"/>
  <c r="F20" i="1" s="1"/>
  <c r="F22" i="1" s="1"/>
  <c r="J18" i="1"/>
  <c r="E18" i="1"/>
  <c r="I18" i="1"/>
  <c r="M18" i="1"/>
  <c r="M20" i="1" s="1"/>
  <c r="M22" i="1" s="1"/>
  <c r="J20" i="1" l="1"/>
  <c r="J22" i="1" s="1"/>
  <c r="K24" i="1"/>
  <c r="D24" i="1"/>
  <c r="H23" i="1"/>
  <c r="H24" i="1" s="1"/>
  <c r="L27" i="1"/>
  <c r="L23" i="1"/>
  <c r="L24" i="1" s="1"/>
  <c r="M23" i="1"/>
  <c r="M24" i="1" s="1"/>
  <c r="C23" i="1"/>
  <c r="C24" i="1" s="1"/>
  <c r="G23" i="1"/>
  <c r="G24" i="1" s="1"/>
  <c r="F23" i="1"/>
  <c r="F24" i="1" s="1"/>
  <c r="I20" i="1"/>
  <c r="I22" i="1" s="1"/>
  <c r="E20" i="1"/>
  <c r="N12" i="1"/>
  <c r="J23" i="1" l="1"/>
  <c r="J24" i="1" s="1"/>
  <c r="I24" i="1"/>
  <c r="I23" i="1"/>
  <c r="M27" i="1"/>
  <c r="N20" i="1"/>
  <c r="E22" i="1"/>
  <c r="E23" i="1" l="1"/>
  <c r="E24" i="1" l="1"/>
  <c r="B22" i="1" l="1"/>
  <c r="N22" i="1" l="1"/>
  <c r="N23" i="1"/>
  <c r="B24" i="1" l="1"/>
  <c r="N24" i="1" l="1"/>
  <c r="B26" i="1"/>
  <c r="B27" i="1" s="1"/>
  <c r="C27" i="1" s="1"/>
  <c r="D27" i="1" s="1"/>
  <c r="E27" i="1" s="1"/>
  <c r="F27" i="1" s="1"/>
  <c r="G27" i="1" l="1"/>
  <c r="H27" i="1" s="1"/>
  <c r="I27" i="1" s="1"/>
  <c r="J27" i="1" s="1"/>
  <c r="K27" i="1" s="1"/>
  <c r="F28" i="1"/>
</calcChain>
</file>

<file path=xl/comments1.xml><?xml version="1.0" encoding="utf-8"?>
<comments xmlns="http://schemas.openxmlformats.org/spreadsheetml/2006/main">
  <authors>
    <author>Christof Drexel</author>
  </authors>
  <commentList>
    <comment ref="A14" authorId="0">
      <text>
        <r>
          <rPr>
            <b/>
            <sz val="9"/>
            <color indexed="81"/>
            <rFont val="Tahoma"/>
            <family val="2"/>
          </rPr>
          <t>Monatliche Aufteilung gilt für Haushalte; näherungsweise für gesamten Strombedarf angesetzt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an Heizungsverbrauch gekoppelt, im Bereich von Tagen aber regelbar</t>
        </r>
      </text>
    </comment>
  </commentList>
</comments>
</file>

<file path=xl/sharedStrings.xml><?xml version="1.0" encoding="utf-8"?>
<sst xmlns="http://schemas.openxmlformats.org/spreadsheetml/2006/main" count="58" uniqueCount="52">
  <si>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</si>
  <si>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</si>
  <si>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</si>
  <si>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</si>
  <si>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</si>
  <si>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</si>
  <si>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</si>
  <si>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</si>
  <si>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</si>
  <si>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</si>
  <si>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</si>
  <si>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</si>
  <si>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SUMME</t>
  </si>
  <si>
    <t>PV, relativ</t>
  </si>
  <si>
    <t>PV, absolut</t>
  </si>
  <si>
    <t>Wind, relativ</t>
  </si>
  <si>
    <t>Wind, absolut</t>
  </si>
  <si>
    <t>Verbrauch, relativ, Heizung</t>
  </si>
  <si>
    <t>Verbrauch, absolut, Heizung</t>
  </si>
  <si>
    <t>Wasserkraft, Müllverbrennung, relativ</t>
  </si>
  <si>
    <t>Wasserkraft, Müllverbrennung, absolut</t>
  </si>
  <si>
    <t>Überschüsse / Fehlbeträge Monatsbilanz:</t>
  </si>
  <si>
    <t>Stromerzeugung Biomasse KWK</t>
  </si>
  <si>
    <t>CH4-Bedarf, Annahme kontinuierlich</t>
  </si>
  <si>
    <t>CH4-Überschuss (+) / Fehlbetrag (-)</t>
  </si>
  <si>
    <t>CH4: Bedarf an Speicherung, kumuliert (Start: November)</t>
  </si>
  <si>
    <t>Verluste Methanisierung (40%)</t>
  </si>
  <si>
    <t>Energie CH4</t>
  </si>
  <si>
    <t>Maximum Speicherbedarf Methan</t>
  </si>
  <si>
    <t>alle Werte in TWh</t>
  </si>
  <si>
    <t>Die Speicherung in Form von Wasserstoff wird - wie die Pumpspeicherung - nicht saisonal, sondern jeweils nur für wenige Tage benötigt.</t>
  </si>
  <si>
    <t>TWh</t>
  </si>
  <si>
    <t>Lieferung Biomasse (35 GW)</t>
  </si>
  <si>
    <t>Energiebedarf gesamt an einem kalten Wintertag (ohne CH4-Produktion):</t>
  </si>
  <si>
    <t>abzgl. gespeicherte Energie Gebäude und E-Mobilität</t>
  </si>
  <si>
    <t>minimale Lieferung der fluktuierenden Erneuerbaren  (20%)</t>
  </si>
  <si>
    <t>Wirkungsgrad Rückverstromung</t>
  </si>
  <si>
    <t>Erforderliche Energiemenge in Form von Wasserstoff</t>
  </si>
  <si>
    <t>Energiedichte von Wasserstoff, bei 200 bar</t>
  </si>
  <si>
    <t>kWh/m³</t>
  </si>
  <si>
    <t>Erforderliches Volumen, um Energiemenge zu speichern</t>
  </si>
  <si>
    <t>m³</t>
  </si>
  <si>
    <t xml:space="preserve">Die Energiereserve für 5 Tage liegt somit bei </t>
  </si>
  <si>
    <t>Überschlägige Ermittlung der benötigten Speicherkapazitäten für Methan und Wasserstoff</t>
  </si>
  <si>
    <t>Energieerzeugung, fluktuierend</t>
  </si>
  <si>
    <t>Energieerzeugung, fluktuierend, gesamt</t>
  </si>
  <si>
    <t>Verbrauch, relativ, ohne Heizung, ohne Methanisierung</t>
  </si>
  <si>
    <t>Verbrauch, absolut, ohne Heizung, ohne Methanisierung</t>
  </si>
  <si>
    <t>Verbrauch, absolut, mit Heizung, ohne Methanisierung</t>
  </si>
  <si>
    <t>Überschüsse inklusive Biomasse --&gt; Methanisierung</t>
  </si>
  <si>
    <t>Erforderliche Energie durch Rückverstromung aus Wasserstoff</t>
  </si>
  <si>
    <t>(Das entspricht etwa einem 1000-Liter-Tank pro 10 Einwohner)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</si>
</sst>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 tint="0.499984740745262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2" fontId="0" fillId="0" borderId="0" xfId="0" applyNumberFormat="1"/>
    <xf numFmtId="9" fontId="0" fillId="0" borderId="0" xfId="0" applyNumberFormat="1"/>
    <xf numFmtId="0" fontId="2" fillId="0" borderId="0" xfId="0" applyFont="1"/>
    <xf numFmtId="1" fontId="0" fillId="0" borderId="0" xfId="0" applyNumberFormat="1"/>
    <xf numFmtId="0" fontId="4" fillId="0" borderId="0" xfId="0" applyFont="1"/>
    <xf numFmtId="164" fontId="4" fillId="0" borderId="0" xfId="0" applyNumberFormat="1" applyFont="1"/>
    <xf numFmtId="9" fontId="4" fillId="0" borderId="0" xfId="1" applyFont="1"/>
    <xf numFmtId="164" fontId="4" fillId="0" borderId="0" xfId="1" applyNumberFormat="1" applyFont="1"/>
    <xf numFmtId="9" fontId="4" fillId="0" borderId="0" xfId="0" applyNumberFormat="1" applyFont="1"/>
    <xf numFmtId="10" fontId="4" fillId="0" borderId="0" xfId="0" applyNumberFormat="1" applyFont="1"/>
    <xf numFmtId="2" fontId="2" fillId="0" borderId="0" xfId="0" applyNumberFormat="1" applyFont="1"/>
    <xf numFmtId="3" fontId="0" fillId="0" borderId="0" xfId="0" applyNumberFormat="1" applyAlignment="1">
      <alignment horizontal="right"/>
    </xf>
    <xf numFmtId="0" fontId="5" fillId="0" borderId="0" xfId="0" applyFon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41"/>
  <sheetViews>
    <sheetView tabSelected="1" workbookViewId="0">
      <selection activeCell="G40" sqref="G40"/>
    </sheetView>
  </sheetViews>
  <sheetFormatPr baseColWidth="10" defaultRowHeight="15" x14ac:dyDescent="0.25"/>
  <cols>
    <col min="1" max="1" width="66.28515625" bestFit="1" customWidth="1"/>
    <col min="2" max="2" width="8" customWidth="1"/>
    <col min="3" max="14" width="8.140625" customWidth="1"/>
  </cols>
  <sheetData>
    <row r="2" spans="1:14" s="3" customFormat="1" x14ac:dyDescent="0.25">
      <c r="A2" s="3" t="s">
        <v>43</v>
      </c>
    </row>
    <row r="3" spans="1:14" x14ac:dyDescent="0.25">
      <c r="A3" t="s">
        <v>29</v>
      </c>
    </row>
    <row r="5" spans="1:14" x14ac:dyDescent="0.25">
      <c r="A5" t="s">
        <v>44</v>
      </c>
      <c r="B5" t="s">
        <v>0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I5" t="s">
        <v>7</v>
      </c>
      <c r="J5" t="s">
        <v>8</v>
      </c>
      <c r="K5" t="s">
        <v>9</v>
      </c>
      <c r="L5" t="s">
        <v>10</v>
      </c>
      <c r="M5" t="s">
        <v>11</v>
      </c>
      <c r="N5" t="s">
        <v>12</v>
      </c>
    </row>
    <row r="6" spans="1:14" x14ac:dyDescent="0.25">
      <c r="A6" s="5" t="s">
        <v>19</v>
      </c>
      <c r="B6" s="6">
        <v>7.4999999999999997E-2</v>
      </c>
      <c r="C6" s="6">
        <v>6.5000000000000002E-2</v>
      </c>
      <c r="D6" s="6">
        <v>0.08</v>
      </c>
      <c r="E6" s="6">
        <v>9.5000000000000001E-2</v>
      </c>
      <c r="F6" s="6">
        <v>0.105</v>
      </c>
      <c r="G6" s="6">
        <v>0.1</v>
      </c>
      <c r="H6" s="6">
        <v>9.5000000000000001E-2</v>
      </c>
      <c r="I6" s="6">
        <v>8.5000000000000006E-2</v>
      </c>
      <c r="J6" s="6">
        <v>0.08</v>
      </c>
      <c r="K6" s="6">
        <v>7.4999999999999997E-2</v>
      </c>
      <c r="L6" s="6">
        <v>7.4999999999999997E-2</v>
      </c>
      <c r="M6" s="6">
        <v>7.0000000000000007E-2</v>
      </c>
      <c r="N6" s="7">
        <f>SUM(B6:M6)</f>
        <v>0.99999999999999978</v>
      </c>
    </row>
    <row r="7" spans="1:14" x14ac:dyDescent="0.25">
      <c r="A7" t="s">
        <v>20</v>
      </c>
      <c r="B7" s="1">
        <f>B6*$N7</f>
        <v>2.4</v>
      </c>
      <c r="C7" s="1">
        <f t="shared" ref="C7:M7" si="0">C6*$N7</f>
        <v>2.08</v>
      </c>
      <c r="D7" s="1">
        <f t="shared" si="0"/>
        <v>2.56</v>
      </c>
      <c r="E7" s="1">
        <f t="shared" si="0"/>
        <v>3.04</v>
      </c>
      <c r="F7" s="1">
        <f t="shared" si="0"/>
        <v>3.36</v>
      </c>
      <c r="G7" s="1">
        <f t="shared" si="0"/>
        <v>3.2</v>
      </c>
      <c r="H7" s="1">
        <f t="shared" si="0"/>
        <v>3.04</v>
      </c>
      <c r="I7" s="1">
        <f t="shared" si="0"/>
        <v>2.72</v>
      </c>
      <c r="J7" s="1">
        <f t="shared" si="0"/>
        <v>2.56</v>
      </c>
      <c r="K7" s="1">
        <f t="shared" si="0"/>
        <v>2.4</v>
      </c>
      <c r="L7" s="1">
        <f t="shared" si="0"/>
        <v>2.4</v>
      </c>
      <c r="M7" s="1">
        <f t="shared" si="0"/>
        <v>2.2400000000000002</v>
      </c>
      <c r="N7">
        <v>32</v>
      </c>
    </row>
    <row r="8" spans="1:14" x14ac:dyDescent="0.25">
      <c r="A8" s="5" t="s">
        <v>13</v>
      </c>
      <c r="B8" s="8">
        <v>2.1584332368747419E-2</v>
      </c>
      <c r="C8" s="8">
        <v>3.8389371181847411E-2</v>
      </c>
      <c r="D8" s="8">
        <v>6.9641380735841266E-2</v>
      </c>
      <c r="E8" s="8">
        <v>0.11440218639474531</v>
      </c>
      <c r="F8" s="8">
        <v>0.14579716136144413</v>
      </c>
      <c r="G8" s="8">
        <v>0.15228055670387211</v>
      </c>
      <c r="H8" s="8">
        <v>0.14771772082127602</v>
      </c>
      <c r="I8" s="8">
        <v>0.12276652427541224</v>
      </c>
      <c r="J8" s="8">
        <v>9.0795668549905839E-2</v>
      </c>
      <c r="K8" s="8">
        <v>5.7727596343760047E-2</v>
      </c>
      <c r="L8" s="8">
        <v>2.3288434155527993E-2</v>
      </c>
      <c r="M8" s="8">
        <v>1.5609067107620228E-2</v>
      </c>
      <c r="N8" s="7">
        <f>SUM(B8:M8)</f>
        <v>0.99999999999999989</v>
      </c>
    </row>
    <row r="9" spans="1:14" x14ac:dyDescent="0.25">
      <c r="A9" t="s">
        <v>14</v>
      </c>
      <c r="B9" s="1">
        <f>B8*$N9</f>
        <v>2.5901198842496904</v>
      </c>
      <c r="C9" s="1">
        <f t="shared" ref="C9:M9" si="1">C8*$N9</f>
        <v>4.6067245418216896</v>
      </c>
      <c r="D9" s="1">
        <f t="shared" si="1"/>
        <v>8.3569656883009511</v>
      </c>
      <c r="E9" s="1">
        <f t="shared" si="1"/>
        <v>13.728262367369437</v>
      </c>
      <c r="F9" s="1">
        <f t="shared" si="1"/>
        <v>17.495659363373296</v>
      </c>
      <c r="G9" s="1">
        <f t="shared" si="1"/>
        <v>18.273666804464654</v>
      </c>
      <c r="H9" s="1">
        <f t="shared" si="1"/>
        <v>17.726126498553121</v>
      </c>
      <c r="I9" s="1">
        <f t="shared" si="1"/>
        <v>14.731982913049467</v>
      </c>
      <c r="J9" s="1">
        <f t="shared" si="1"/>
        <v>10.895480225988701</v>
      </c>
      <c r="K9" s="1">
        <f t="shared" si="1"/>
        <v>6.927311561251206</v>
      </c>
      <c r="L9" s="1">
        <f t="shared" si="1"/>
        <v>2.7946120986633591</v>
      </c>
      <c r="M9" s="1">
        <f t="shared" si="1"/>
        <v>1.8730880529144274</v>
      </c>
      <c r="N9">
        <v>120</v>
      </c>
    </row>
    <row r="10" spans="1:14" x14ac:dyDescent="0.25">
      <c r="A10" s="5" t="s">
        <v>15</v>
      </c>
      <c r="B10" s="9">
        <v>0.12020460358056266</v>
      </c>
      <c r="C10" s="9">
        <v>0.12787723785166241</v>
      </c>
      <c r="D10" s="9">
        <v>7.8005115089514063E-2</v>
      </c>
      <c r="E10" s="9">
        <v>7.6726342710997444E-2</v>
      </c>
      <c r="F10" s="9">
        <v>7.9283887468030695E-2</v>
      </c>
      <c r="G10" s="9">
        <v>4.3478260869565216E-2</v>
      </c>
      <c r="H10" s="9">
        <v>6.010230179028133E-2</v>
      </c>
      <c r="I10" s="9">
        <v>6.1381074168797949E-2</v>
      </c>
      <c r="J10" s="9">
        <v>5.4987212276214829E-2</v>
      </c>
      <c r="K10" s="9">
        <v>7.2890025575447576E-2</v>
      </c>
      <c r="L10" s="9">
        <v>0.10485933503836316</v>
      </c>
      <c r="M10" s="9">
        <v>0.12020460358056266</v>
      </c>
      <c r="N10" s="7">
        <f>SUM(B10:M10)</f>
        <v>0.99999999999999989</v>
      </c>
    </row>
    <row r="11" spans="1:14" x14ac:dyDescent="0.25">
      <c r="A11" t="s">
        <v>16</v>
      </c>
      <c r="B11" s="1">
        <f>B10*$N11</f>
        <v>52.649616368286445</v>
      </c>
      <c r="C11" s="1">
        <f t="shared" ref="C11:M11" si="2">C10*$N11</f>
        <v>56.010230179028135</v>
      </c>
      <c r="D11" s="1">
        <f t="shared" si="2"/>
        <v>34.166240409207163</v>
      </c>
      <c r="E11" s="1">
        <f t="shared" si="2"/>
        <v>33.606138107416882</v>
      </c>
      <c r="F11" s="1">
        <f t="shared" si="2"/>
        <v>34.726342710997443</v>
      </c>
      <c r="G11" s="1">
        <f t="shared" si="2"/>
        <v>19.043478260869566</v>
      </c>
      <c r="H11" s="1">
        <f t="shared" si="2"/>
        <v>26.324808184143222</v>
      </c>
      <c r="I11" s="1">
        <f t="shared" si="2"/>
        <v>26.884910485933503</v>
      </c>
      <c r="J11" s="1">
        <f t="shared" si="2"/>
        <v>24.084398976982094</v>
      </c>
      <c r="K11" s="1">
        <f t="shared" si="2"/>
        <v>31.925831202046037</v>
      </c>
      <c r="L11" s="1">
        <f t="shared" si="2"/>
        <v>45.928388746803066</v>
      </c>
      <c r="M11" s="1">
        <f t="shared" si="2"/>
        <v>52.649616368286445</v>
      </c>
      <c r="N11">
        <v>438</v>
      </c>
    </row>
    <row r="12" spans="1:14" x14ac:dyDescent="0.25">
      <c r="A12" t="s">
        <v>45</v>
      </c>
      <c r="B12" s="1">
        <f>B7+B9+B11</f>
        <v>57.639736252536139</v>
      </c>
      <c r="C12" s="1">
        <f t="shared" ref="C12:M12" si="3">C7+C9+C11</f>
        <v>62.696954720849824</v>
      </c>
      <c r="D12" s="1">
        <f t="shared" si="3"/>
        <v>45.083206097508111</v>
      </c>
      <c r="E12" s="1">
        <f t="shared" si="3"/>
        <v>50.37440047478632</v>
      </c>
      <c r="F12" s="1">
        <f t="shared" si="3"/>
        <v>55.582002074370735</v>
      </c>
      <c r="G12" s="1">
        <f t="shared" si="3"/>
        <v>40.517145065334219</v>
      </c>
      <c r="H12" s="1">
        <f t="shared" si="3"/>
        <v>47.090934682696343</v>
      </c>
      <c r="I12" s="1">
        <f t="shared" si="3"/>
        <v>44.336893398982966</v>
      </c>
      <c r="J12" s="1">
        <f t="shared" si="3"/>
        <v>37.539879202970795</v>
      </c>
      <c r="K12" s="1">
        <f t="shared" si="3"/>
        <v>41.253142763297241</v>
      </c>
      <c r="L12" s="1">
        <f t="shared" si="3"/>
        <v>51.123000845466422</v>
      </c>
      <c r="M12" s="1">
        <f t="shared" si="3"/>
        <v>56.762704421200873</v>
      </c>
      <c r="N12">
        <f>SUM(B12:M12)</f>
        <v>589.99999999999989</v>
      </c>
    </row>
    <row r="13" spans="1:14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4" x14ac:dyDescent="0.25">
      <c r="A14" s="5" t="s">
        <v>46</v>
      </c>
      <c r="B14" s="10">
        <v>9.2999999999999999E-2</v>
      </c>
      <c r="C14" s="10">
        <v>8.5000000000000006E-2</v>
      </c>
      <c r="D14" s="10">
        <v>8.7999999999999995E-2</v>
      </c>
      <c r="E14" s="10">
        <v>7.9000000000000001E-2</v>
      </c>
      <c r="F14" s="10">
        <v>7.6999999999999999E-2</v>
      </c>
      <c r="G14" s="10">
        <v>7.3999999999999996E-2</v>
      </c>
      <c r="H14" s="10">
        <v>7.8E-2</v>
      </c>
      <c r="I14" s="10">
        <v>7.3999999999999996E-2</v>
      </c>
      <c r="J14" s="10">
        <v>7.9000000000000001E-2</v>
      </c>
      <c r="K14" s="10">
        <v>8.6999999999999994E-2</v>
      </c>
      <c r="L14" s="10">
        <v>9.0999999999999998E-2</v>
      </c>
      <c r="M14" s="10">
        <v>9.5000000000000001E-2</v>
      </c>
      <c r="N14" s="5">
        <f>SUM(B14:M14)</f>
        <v>0.99999999999999989</v>
      </c>
    </row>
    <row r="15" spans="1:14" x14ac:dyDescent="0.25">
      <c r="A15" t="s">
        <v>47</v>
      </c>
      <c r="B15" s="1">
        <f>B14*$N15</f>
        <v>42.966000000000001</v>
      </c>
      <c r="C15" s="1">
        <f t="shared" ref="C15:M15" si="4">C14*$N15</f>
        <v>39.270000000000003</v>
      </c>
      <c r="D15" s="1">
        <f t="shared" si="4"/>
        <v>40.655999999999999</v>
      </c>
      <c r="E15" s="1">
        <f t="shared" si="4"/>
        <v>36.497999999999998</v>
      </c>
      <c r="F15" s="1">
        <f t="shared" si="4"/>
        <v>35.573999999999998</v>
      </c>
      <c r="G15" s="1">
        <f t="shared" si="4"/>
        <v>34.187999999999995</v>
      </c>
      <c r="H15" s="1">
        <f t="shared" si="4"/>
        <v>36.036000000000001</v>
      </c>
      <c r="I15" s="1">
        <f t="shared" si="4"/>
        <v>34.187999999999995</v>
      </c>
      <c r="J15" s="1">
        <f t="shared" si="4"/>
        <v>36.497999999999998</v>
      </c>
      <c r="K15" s="1">
        <f t="shared" si="4"/>
        <v>40.193999999999996</v>
      </c>
      <c r="L15" s="1">
        <f t="shared" si="4"/>
        <v>42.042000000000002</v>
      </c>
      <c r="M15" s="1">
        <f t="shared" si="4"/>
        <v>43.89</v>
      </c>
      <c r="N15">
        <v>462</v>
      </c>
    </row>
    <row r="16" spans="1:14" x14ac:dyDescent="0.25">
      <c r="A16" s="5" t="s">
        <v>17</v>
      </c>
      <c r="B16" s="9">
        <v>0.17</v>
      </c>
      <c r="C16" s="9">
        <v>0.14000000000000001</v>
      </c>
      <c r="D16" s="9">
        <v>0.12</v>
      </c>
      <c r="E16" s="9">
        <v>0.08</v>
      </c>
      <c r="F16" s="9">
        <v>0.02</v>
      </c>
      <c r="G16" s="9">
        <v>0.01</v>
      </c>
      <c r="H16" s="9">
        <v>0.01</v>
      </c>
      <c r="I16" s="9">
        <v>0.01</v>
      </c>
      <c r="J16" s="9">
        <v>0.06</v>
      </c>
      <c r="K16" s="9">
        <v>0.09</v>
      </c>
      <c r="L16" s="9">
        <v>0.13</v>
      </c>
      <c r="M16" s="9">
        <v>0.16</v>
      </c>
      <c r="N16" s="5">
        <f>SUM(B16:M16)</f>
        <v>1</v>
      </c>
    </row>
    <row r="17" spans="1:14" x14ac:dyDescent="0.25">
      <c r="A17" t="s">
        <v>18</v>
      </c>
      <c r="B17" s="1">
        <f>B16*$N17</f>
        <v>8.5</v>
      </c>
      <c r="C17" s="1">
        <f t="shared" ref="C17:M17" si="5">C16*$N17</f>
        <v>7.0000000000000009</v>
      </c>
      <c r="D17" s="1">
        <f t="shared" si="5"/>
        <v>6</v>
      </c>
      <c r="E17" s="1">
        <f t="shared" si="5"/>
        <v>4</v>
      </c>
      <c r="F17" s="1">
        <f t="shared" si="5"/>
        <v>1</v>
      </c>
      <c r="G17" s="1">
        <f t="shared" si="5"/>
        <v>0.5</v>
      </c>
      <c r="H17" s="1">
        <f t="shared" si="5"/>
        <v>0.5</v>
      </c>
      <c r="I17" s="1">
        <f t="shared" si="5"/>
        <v>0.5</v>
      </c>
      <c r="J17" s="1">
        <f t="shared" si="5"/>
        <v>3</v>
      </c>
      <c r="K17" s="1">
        <f t="shared" si="5"/>
        <v>4.5</v>
      </c>
      <c r="L17" s="1">
        <f t="shared" si="5"/>
        <v>6.5</v>
      </c>
      <c r="M17" s="1">
        <f t="shared" si="5"/>
        <v>8</v>
      </c>
      <c r="N17">
        <v>50</v>
      </c>
    </row>
    <row r="18" spans="1:14" x14ac:dyDescent="0.25">
      <c r="A18" t="s">
        <v>48</v>
      </c>
      <c r="B18" s="1">
        <f>B15+B17</f>
        <v>51.466000000000001</v>
      </c>
      <c r="C18" s="1">
        <f t="shared" ref="C18:M18" si="6">C15+C17</f>
        <v>46.27</v>
      </c>
      <c r="D18" s="1">
        <f t="shared" si="6"/>
        <v>46.655999999999999</v>
      </c>
      <c r="E18" s="1">
        <f t="shared" si="6"/>
        <v>40.497999999999998</v>
      </c>
      <c r="F18" s="1">
        <f t="shared" si="6"/>
        <v>36.573999999999998</v>
      </c>
      <c r="G18" s="1">
        <f t="shared" si="6"/>
        <v>34.687999999999995</v>
      </c>
      <c r="H18" s="1">
        <f t="shared" si="6"/>
        <v>36.536000000000001</v>
      </c>
      <c r="I18" s="1">
        <f t="shared" si="6"/>
        <v>34.687999999999995</v>
      </c>
      <c r="J18" s="1">
        <f t="shared" si="6"/>
        <v>39.497999999999998</v>
      </c>
      <c r="K18" s="1">
        <f t="shared" si="6"/>
        <v>44.693999999999996</v>
      </c>
      <c r="L18" s="1">
        <f t="shared" si="6"/>
        <v>48.542000000000002</v>
      </c>
      <c r="M18" s="1">
        <f t="shared" si="6"/>
        <v>51.89</v>
      </c>
    </row>
    <row r="19" spans="1:14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4" x14ac:dyDescent="0.25">
      <c r="A20" t="s">
        <v>21</v>
      </c>
      <c r="B20" s="1">
        <f>B12-B18</f>
        <v>6.1737362525361377</v>
      </c>
      <c r="C20" s="1">
        <f t="shared" ref="C20:M20" si="7">C12-C18</f>
        <v>16.426954720849821</v>
      </c>
      <c r="D20" s="1">
        <f t="shared" si="7"/>
        <v>-1.5727939024918882</v>
      </c>
      <c r="E20" s="1">
        <f t="shared" si="7"/>
        <v>9.8764004747863225</v>
      </c>
      <c r="F20" s="1">
        <f t="shared" si="7"/>
        <v>19.008002074370737</v>
      </c>
      <c r="G20" s="1">
        <f t="shared" si="7"/>
        <v>5.8291450653342238</v>
      </c>
      <c r="H20" s="1">
        <f t="shared" si="7"/>
        <v>10.554934682696341</v>
      </c>
      <c r="I20" s="1">
        <f t="shared" si="7"/>
        <v>9.6488933989829704</v>
      </c>
      <c r="J20" s="1">
        <f t="shared" si="7"/>
        <v>-1.9581207970292027</v>
      </c>
      <c r="K20" s="1">
        <f t="shared" si="7"/>
        <v>-3.4408572367027546</v>
      </c>
      <c r="L20" s="1">
        <f t="shared" si="7"/>
        <v>2.5810008454664199</v>
      </c>
      <c r="M20" s="1">
        <f t="shared" si="7"/>
        <v>4.8727044212008721</v>
      </c>
      <c r="N20" s="4">
        <f>SUM(B20:M20)</f>
        <v>78</v>
      </c>
    </row>
    <row r="21" spans="1:14" x14ac:dyDescent="0.25">
      <c r="A21" t="s">
        <v>22</v>
      </c>
      <c r="B21" s="1">
        <v>14</v>
      </c>
      <c r="C21" s="1">
        <v>12</v>
      </c>
      <c r="D21" s="1">
        <v>10</v>
      </c>
      <c r="E21" s="1">
        <v>6</v>
      </c>
      <c r="F21" s="1">
        <v>1</v>
      </c>
      <c r="G21" s="1">
        <v>1</v>
      </c>
      <c r="H21" s="1">
        <v>1</v>
      </c>
      <c r="I21" s="1">
        <v>1</v>
      </c>
      <c r="J21" s="1">
        <v>5</v>
      </c>
      <c r="K21" s="1">
        <v>7</v>
      </c>
      <c r="L21" s="1">
        <v>11</v>
      </c>
      <c r="M21" s="1">
        <v>13</v>
      </c>
      <c r="N21" s="4">
        <v>82</v>
      </c>
    </row>
    <row r="22" spans="1:14" x14ac:dyDescent="0.25">
      <c r="A22" t="s">
        <v>49</v>
      </c>
      <c r="B22" s="1">
        <f>B20+B21</f>
        <v>20.173736252536138</v>
      </c>
      <c r="C22" s="1">
        <f t="shared" ref="C22:M22" si="8">C20+C21</f>
        <v>28.426954720849821</v>
      </c>
      <c r="D22" s="1">
        <f t="shared" si="8"/>
        <v>8.4272060975081118</v>
      </c>
      <c r="E22" s="1">
        <f t="shared" si="8"/>
        <v>15.876400474786323</v>
      </c>
      <c r="F22" s="1">
        <f t="shared" si="8"/>
        <v>20.008002074370737</v>
      </c>
      <c r="G22" s="1">
        <f t="shared" si="8"/>
        <v>6.8291450653342238</v>
      </c>
      <c r="H22" s="1">
        <f t="shared" si="8"/>
        <v>11.554934682696341</v>
      </c>
      <c r="I22" s="1">
        <f t="shared" si="8"/>
        <v>10.64889339898297</v>
      </c>
      <c r="J22" s="1">
        <f t="shared" si="8"/>
        <v>3.0418792029707973</v>
      </c>
      <c r="K22" s="1">
        <f t="shared" si="8"/>
        <v>3.5591427632972454</v>
      </c>
      <c r="L22" s="1">
        <f t="shared" si="8"/>
        <v>13.58100084546642</v>
      </c>
      <c r="M22" s="1">
        <f t="shared" si="8"/>
        <v>17.872704421200872</v>
      </c>
      <c r="N22" s="4">
        <f>SUM(B22:M22)</f>
        <v>160</v>
      </c>
    </row>
    <row r="23" spans="1:14" x14ac:dyDescent="0.25">
      <c r="A23" t="s">
        <v>26</v>
      </c>
      <c r="B23" s="1">
        <f>B22*-0.4</f>
        <v>-8.0694945010144554</v>
      </c>
      <c r="C23" s="1">
        <f t="shared" ref="C23:M23" si="9">-C22*0.4</f>
        <v>-11.370781888339929</v>
      </c>
      <c r="D23" s="1">
        <f t="shared" si="9"/>
        <v>-3.3708824390032448</v>
      </c>
      <c r="E23" s="1">
        <f t="shared" si="9"/>
        <v>-6.3505601899145292</v>
      </c>
      <c r="F23" s="1">
        <f t="shared" si="9"/>
        <v>-8.0032008297482946</v>
      </c>
      <c r="G23" s="1">
        <f t="shared" si="9"/>
        <v>-2.7316580261336898</v>
      </c>
      <c r="H23" s="1">
        <f t="shared" si="9"/>
        <v>-4.6219738730785371</v>
      </c>
      <c r="I23" s="1">
        <f t="shared" si="9"/>
        <v>-4.2595573595931882</v>
      </c>
      <c r="J23" s="1">
        <f t="shared" si="9"/>
        <v>-1.216751681188319</v>
      </c>
      <c r="K23" s="1">
        <f t="shared" si="9"/>
        <v>-1.4236571053188982</v>
      </c>
      <c r="L23" s="1">
        <f t="shared" si="9"/>
        <v>-5.432400338186568</v>
      </c>
      <c r="M23" s="1">
        <f t="shared" si="9"/>
        <v>-7.1490817684803494</v>
      </c>
      <c r="N23" s="4">
        <f>SUM(B23:M23)</f>
        <v>-64</v>
      </c>
    </row>
    <row r="24" spans="1:14" x14ac:dyDescent="0.25">
      <c r="A24" t="s">
        <v>27</v>
      </c>
      <c r="B24" s="1">
        <f>B22+B23</f>
        <v>12.104241751521682</v>
      </c>
      <c r="C24" s="1">
        <f t="shared" ref="C24:M24" si="10">C22+C23</f>
        <v>17.056172832509894</v>
      </c>
      <c r="D24" s="1">
        <f t="shared" si="10"/>
        <v>5.0563236585048674</v>
      </c>
      <c r="E24" s="1">
        <f t="shared" si="10"/>
        <v>9.5258402848717942</v>
      </c>
      <c r="F24" s="1">
        <f t="shared" si="10"/>
        <v>12.004801244622442</v>
      </c>
      <c r="G24" s="1">
        <f t="shared" si="10"/>
        <v>4.0974870392005336</v>
      </c>
      <c r="H24" s="1">
        <f t="shared" si="10"/>
        <v>6.9329608096178044</v>
      </c>
      <c r="I24" s="1">
        <f t="shared" si="10"/>
        <v>6.3893360393897822</v>
      </c>
      <c r="J24" s="1">
        <f t="shared" si="10"/>
        <v>1.8251275217824783</v>
      </c>
      <c r="K24" s="1">
        <f t="shared" si="10"/>
        <v>2.1354856579783474</v>
      </c>
      <c r="L24" s="1">
        <f t="shared" si="10"/>
        <v>8.148600507279852</v>
      </c>
      <c r="M24" s="1">
        <f t="shared" si="10"/>
        <v>10.723622652720522</v>
      </c>
      <c r="N24" s="4">
        <f>SUM(B24:M24)</f>
        <v>96</v>
      </c>
    </row>
    <row r="25" spans="1:14" x14ac:dyDescent="0.25">
      <c r="A25" t="s">
        <v>23</v>
      </c>
      <c r="B25" s="1">
        <f>96/12</f>
        <v>8</v>
      </c>
      <c r="C25" s="1">
        <f t="shared" ref="C25:M25" si="11">96/12</f>
        <v>8</v>
      </c>
      <c r="D25" s="1">
        <f t="shared" si="11"/>
        <v>8</v>
      </c>
      <c r="E25" s="1">
        <f t="shared" si="11"/>
        <v>8</v>
      </c>
      <c r="F25" s="1">
        <f t="shared" si="11"/>
        <v>8</v>
      </c>
      <c r="G25" s="1">
        <f t="shared" si="11"/>
        <v>8</v>
      </c>
      <c r="H25" s="1">
        <f t="shared" si="11"/>
        <v>8</v>
      </c>
      <c r="I25" s="1">
        <f t="shared" si="11"/>
        <v>8</v>
      </c>
      <c r="J25" s="1">
        <f t="shared" si="11"/>
        <v>8</v>
      </c>
      <c r="K25" s="1">
        <f t="shared" si="11"/>
        <v>8</v>
      </c>
      <c r="L25" s="1">
        <f t="shared" si="11"/>
        <v>8</v>
      </c>
      <c r="M25" s="1">
        <f t="shared" si="11"/>
        <v>8</v>
      </c>
    </row>
    <row r="26" spans="1:14" x14ac:dyDescent="0.25">
      <c r="A26" t="s">
        <v>24</v>
      </c>
      <c r="B26" s="1">
        <f>B24-B25</f>
        <v>4.1042417515216822</v>
      </c>
      <c r="C26" s="1">
        <f t="shared" ref="C26:M26" si="12">C24-C25</f>
        <v>9.056172832509894</v>
      </c>
      <c r="D26" s="1">
        <f t="shared" si="12"/>
        <v>-2.9436763414951326</v>
      </c>
      <c r="E26" s="1">
        <f t="shared" si="12"/>
        <v>1.5258402848717942</v>
      </c>
      <c r="F26" s="1">
        <f t="shared" si="12"/>
        <v>4.0048012446224419</v>
      </c>
      <c r="G26" s="1">
        <f t="shared" si="12"/>
        <v>-3.9025129607994664</v>
      </c>
      <c r="H26" s="1">
        <f t="shared" si="12"/>
        <v>-1.0670391903821956</v>
      </c>
      <c r="I26" s="1">
        <f t="shared" si="12"/>
        <v>-1.6106639606102178</v>
      </c>
      <c r="J26" s="1">
        <f t="shared" si="12"/>
        <v>-6.1748724782175213</v>
      </c>
      <c r="K26" s="1">
        <f t="shared" si="12"/>
        <v>-5.8645143420216526</v>
      </c>
      <c r="L26" s="1">
        <f t="shared" si="12"/>
        <v>0.14860050727985197</v>
      </c>
      <c r="M26" s="1">
        <f t="shared" si="12"/>
        <v>2.7236226527205218</v>
      </c>
    </row>
    <row r="27" spans="1:14" x14ac:dyDescent="0.25">
      <c r="A27" t="s">
        <v>25</v>
      </c>
      <c r="B27" s="1">
        <f>B26+M27</f>
        <v>6.9764649115220561</v>
      </c>
      <c r="C27" s="1">
        <f>B27+C26</f>
        <v>16.032637744031952</v>
      </c>
      <c r="D27" s="1">
        <f t="shared" ref="D27:M27" si="13">C27+D26</f>
        <v>13.088961402536819</v>
      </c>
      <c r="E27" s="1">
        <f t="shared" si="13"/>
        <v>14.614801687408614</v>
      </c>
      <c r="F27" s="1">
        <f t="shared" si="13"/>
        <v>18.619602932031057</v>
      </c>
      <c r="G27" s="1">
        <f t="shared" si="13"/>
        <v>14.717089971231591</v>
      </c>
      <c r="H27" s="1">
        <f t="shared" si="13"/>
        <v>13.650050780849394</v>
      </c>
      <c r="I27" s="1">
        <f t="shared" si="13"/>
        <v>12.039386820239177</v>
      </c>
      <c r="J27" s="1">
        <f t="shared" si="13"/>
        <v>5.8645143420216552</v>
      </c>
      <c r="K27" s="1">
        <f t="shared" si="13"/>
        <v>0</v>
      </c>
      <c r="L27" s="1">
        <f>L26</f>
        <v>0.14860050727985197</v>
      </c>
      <c r="M27" s="1">
        <f t="shared" si="13"/>
        <v>2.8722231600003738</v>
      </c>
    </row>
    <row r="28" spans="1:14" s="3" customFormat="1" x14ac:dyDescent="0.25">
      <c r="A28" s="3" t="s">
        <v>28</v>
      </c>
      <c r="F28" s="11">
        <f>F27</f>
        <v>18.619602932031057</v>
      </c>
    </row>
    <row r="30" spans="1:14" x14ac:dyDescent="0.25">
      <c r="A30" t="s">
        <v>30</v>
      </c>
    </row>
    <row r="31" spans="1:14" x14ac:dyDescent="0.25">
      <c r="A31" t="s">
        <v>33</v>
      </c>
      <c r="C31">
        <v>2</v>
      </c>
      <c r="D31" t="s">
        <v>31</v>
      </c>
    </row>
    <row r="32" spans="1:14" x14ac:dyDescent="0.25">
      <c r="A32" t="s">
        <v>34</v>
      </c>
      <c r="C32">
        <v>-0.2</v>
      </c>
      <c r="D32" t="s">
        <v>31</v>
      </c>
    </row>
    <row r="33" spans="1:4" x14ac:dyDescent="0.25">
      <c r="A33" t="s">
        <v>35</v>
      </c>
      <c r="C33">
        <v>-0.4</v>
      </c>
      <c r="D33" t="s">
        <v>31</v>
      </c>
    </row>
    <row r="34" spans="1:4" x14ac:dyDescent="0.25">
      <c r="A34" t="s">
        <v>32</v>
      </c>
      <c r="C34">
        <f>-35*24/1000</f>
        <v>-0.84</v>
      </c>
      <c r="D34" t="s">
        <v>31</v>
      </c>
    </row>
    <row r="35" spans="1:4" x14ac:dyDescent="0.25">
      <c r="A35" t="s">
        <v>50</v>
      </c>
      <c r="C35">
        <f>SUM(C31:C34)</f>
        <v>0.55999999999999994</v>
      </c>
      <c r="D35" t="s">
        <v>31</v>
      </c>
    </row>
    <row r="36" spans="1:4" x14ac:dyDescent="0.25">
      <c r="A36" t="s">
        <v>42</v>
      </c>
      <c r="C36">
        <f>C35*5</f>
        <v>2.8</v>
      </c>
      <c r="D36" t="s">
        <v>31</v>
      </c>
    </row>
    <row r="37" spans="1:4" x14ac:dyDescent="0.25">
      <c r="A37" t="s">
        <v>36</v>
      </c>
      <c r="C37" s="2">
        <v>0.6</v>
      </c>
    </row>
    <row r="38" spans="1:4" x14ac:dyDescent="0.25">
      <c r="A38" t="s">
        <v>37</v>
      </c>
      <c r="C38" s="1">
        <f>C36/C37</f>
        <v>4.666666666666667</v>
      </c>
      <c r="D38" t="s">
        <v>31</v>
      </c>
    </row>
    <row r="39" spans="1:4" x14ac:dyDescent="0.25">
      <c r="A39" t="s">
        <v>38</v>
      </c>
      <c r="C39">
        <v>600</v>
      </c>
      <c r="D39" t="s">
        <v>39</v>
      </c>
    </row>
    <row r="40" spans="1:4" x14ac:dyDescent="0.25">
      <c r="A40" t="s">
        <v>40</v>
      </c>
      <c r="B40" s="12">
        <f>C38/C39*1000000000</f>
        <v>7777777.777777778</v>
      </c>
      <c r="C40" s="12"/>
      <c r="D40" t="s">
        <v>41</v>
      </c>
    </row>
    <row r="41" spans="1:4" x14ac:dyDescent="0.25">
      <c r="A41" s="13" t="s">
        <v>51</v>
      </c>
    </row>
  </sheetData>
  <mergeCells count="1">
    <mergeCell ref="B40:C40"/>
  </mergeCells>
  <conditionalFormatting sqref="B19:M19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8740157499999996" bottom="0.78740157499999996" header="0.3" footer="0.3"/>
  <pageSetup paperSize="9" orientation="portrait" horizontalDpi="4294967293" verticalDpi="0" r:id="rId1"/>
  <ignoredErrors>
    <ignoredError sqref="B23 C23:M23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Christof Drexel</dc:creator>
  <cp:lastModifiedBy>Christof Drexel</cp:lastModifiedBy>
  <dcterms:created xsi:type="dcterms:W3CDTF">2018-03-30T07:06:50Z</dcterms:created>
  <dcterms:modified xsi:type="dcterms:W3CDTF">2018-03-30T08:10:22Z</dcterms:modified>
</cp:coreProperties>
</file>