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lle 3 Strategien" sheetId="1" r:id="rId1"/>
    <sheet name="Effizienz und EE" sheetId="5" r:id="rId2"/>
    <sheet name="Lebensstil und EE" sheetId="6" r:id="rId3"/>
    <sheet name="nur EE" sheetId="7" r:id="rId4"/>
  </sheets>
  <calcPr calcId="145621"/>
</workbook>
</file>

<file path=xl/calcChain.xml><?xml version="1.0" encoding="utf-8"?>
<calcChain xmlns="http://schemas.openxmlformats.org/spreadsheetml/2006/main">
  <c r="AE31" i="7" l="1"/>
  <c r="AE30" i="7"/>
  <c r="AE29" i="7"/>
  <c r="G21" i="7"/>
  <c r="F21" i="7"/>
  <c r="E21" i="7"/>
  <c r="K21" i="7" s="1"/>
  <c r="D21" i="7"/>
  <c r="J21" i="7" s="1"/>
  <c r="C21" i="7"/>
  <c r="I21" i="7" s="1"/>
  <c r="B21" i="7"/>
  <c r="H21" i="7" s="1"/>
  <c r="AI20" i="7"/>
  <c r="AH20" i="7"/>
  <c r="K20" i="7"/>
  <c r="U20" i="7" s="1"/>
  <c r="J20" i="7"/>
  <c r="T20" i="7" s="1"/>
  <c r="I20" i="7"/>
  <c r="S20" i="7" s="1"/>
  <c r="H20" i="7"/>
  <c r="R20" i="7" s="1"/>
  <c r="AI19" i="7"/>
  <c r="K19" i="7"/>
  <c r="U19" i="7" s="1"/>
  <c r="J19" i="7"/>
  <c r="T19" i="7" s="1"/>
  <c r="I19" i="7"/>
  <c r="S19" i="7" s="1"/>
  <c r="H19" i="7"/>
  <c r="R19" i="7" s="1"/>
  <c r="AI18" i="7"/>
  <c r="K18" i="7"/>
  <c r="U18" i="7" s="1"/>
  <c r="J18" i="7"/>
  <c r="T18" i="7" s="1"/>
  <c r="I18" i="7"/>
  <c r="S18" i="7" s="1"/>
  <c r="H18" i="7"/>
  <c r="R18" i="7" s="1"/>
  <c r="AI17" i="7"/>
  <c r="K17" i="7"/>
  <c r="U17" i="7" s="1"/>
  <c r="J17" i="7"/>
  <c r="T17" i="7" s="1"/>
  <c r="I17" i="7"/>
  <c r="S17" i="7" s="1"/>
  <c r="H17" i="7"/>
  <c r="R17" i="7" s="1"/>
  <c r="AI16" i="7"/>
  <c r="K16" i="7"/>
  <c r="U16" i="7" s="1"/>
  <c r="J16" i="7"/>
  <c r="T16" i="7" s="1"/>
  <c r="I16" i="7"/>
  <c r="S16" i="7" s="1"/>
  <c r="H16" i="7"/>
  <c r="R16" i="7" s="1"/>
  <c r="AI15" i="7"/>
  <c r="K15" i="7"/>
  <c r="U15" i="7" s="1"/>
  <c r="J15" i="7"/>
  <c r="T15" i="7" s="1"/>
  <c r="I15" i="7"/>
  <c r="S15" i="7" s="1"/>
  <c r="H15" i="7"/>
  <c r="R15" i="7" s="1"/>
  <c r="AI14" i="7"/>
  <c r="K14" i="7"/>
  <c r="U14" i="7" s="1"/>
  <c r="J14" i="7"/>
  <c r="T14" i="7" s="1"/>
  <c r="I14" i="7"/>
  <c r="S14" i="7" s="1"/>
  <c r="H14" i="7"/>
  <c r="R14" i="7" s="1"/>
  <c r="AI13" i="7"/>
  <c r="K13" i="7"/>
  <c r="U13" i="7" s="1"/>
  <c r="J13" i="7"/>
  <c r="T13" i="7" s="1"/>
  <c r="I13" i="7"/>
  <c r="S13" i="7" s="1"/>
  <c r="H13" i="7"/>
  <c r="R13" i="7" s="1"/>
  <c r="AI12" i="7"/>
  <c r="K12" i="7"/>
  <c r="U12" i="7" s="1"/>
  <c r="J12" i="7"/>
  <c r="T12" i="7" s="1"/>
  <c r="I12" i="7"/>
  <c r="S12" i="7" s="1"/>
  <c r="H12" i="7"/>
  <c r="R12" i="7" s="1"/>
  <c r="AI11" i="7"/>
  <c r="K11" i="7"/>
  <c r="U11" i="7" s="1"/>
  <c r="J11" i="7"/>
  <c r="T11" i="7" s="1"/>
  <c r="I11" i="7"/>
  <c r="S11" i="7" s="1"/>
  <c r="H11" i="7"/>
  <c r="R11" i="7" s="1"/>
  <c r="AI10" i="7"/>
  <c r="AI21" i="7" s="1"/>
  <c r="AH10" i="7"/>
  <c r="AH21" i="7" s="1"/>
  <c r="K10" i="7"/>
  <c r="U10" i="7" s="1"/>
  <c r="U21" i="7" s="1"/>
  <c r="J10" i="7"/>
  <c r="T10" i="7" s="1"/>
  <c r="I10" i="7"/>
  <c r="S10" i="7" s="1"/>
  <c r="S21" i="7" s="1"/>
  <c r="H10" i="7"/>
  <c r="R10" i="7" s="1"/>
  <c r="AH20" i="6"/>
  <c r="AH10" i="6"/>
  <c r="AE31" i="6"/>
  <c r="AE30" i="6"/>
  <c r="AE29" i="6"/>
  <c r="G21" i="6"/>
  <c r="F21" i="6"/>
  <c r="E21" i="6"/>
  <c r="K21" i="6" s="1"/>
  <c r="D21" i="6"/>
  <c r="J21" i="6" s="1"/>
  <c r="C21" i="6"/>
  <c r="I21" i="6" s="1"/>
  <c r="B21" i="6"/>
  <c r="H21" i="6" s="1"/>
  <c r="AI20" i="6"/>
  <c r="K20" i="6"/>
  <c r="U20" i="6" s="1"/>
  <c r="J20" i="6"/>
  <c r="T20" i="6" s="1"/>
  <c r="I20" i="6"/>
  <c r="S20" i="6" s="1"/>
  <c r="H20" i="6"/>
  <c r="R20" i="6" s="1"/>
  <c r="AI19" i="6"/>
  <c r="K19" i="6"/>
  <c r="U19" i="6" s="1"/>
  <c r="J19" i="6"/>
  <c r="T19" i="6" s="1"/>
  <c r="I19" i="6"/>
  <c r="S19" i="6" s="1"/>
  <c r="H19" i="6"/>
  <c r="R19" i="6" s="1"/>
  <c r="AI18" i="6"/>
  <c r="K18" i="6"/>
  <c r="U18" i="6" s="1"/>
  <c r="J18" i="6"/>
  <c r="T18" i="6" s="1"/>
  <c r="I18" i="6"/>
  <c r="S18" i="6" s="1"/>
  <c r="H18" i="6"/>
  <c r="R18" i="6" s="1"/>
  <c r="AI17" i="6"/>
  <c r="K17" i="6"/>
  <c r="U17" i="6" s="1"/>
  <c r="J17" i="6"/>
  <c r="T17" i="6" s="1"/>
  <c r="I17" i="6"/>
  <c r="S17" i="6" s="1"/>
  <c r="H17" i="6"/>
  <c r="R17" i="6" s="1"/>
  <c r="AI16" i="6"/>
  <c r="K16" i="6"/>
  <c r="U16" i="6" s="1"/>
  <c r="J16" i="6"/>
  <c r="T16" i="6" s="1"/>
  <c r="I16" i="6"/>
  <c r="S16" i="6" s="1"/>
  <c r="H16" i="6"/>
  <c r="R16" i="6" s="1"/>
  <c r="AI15" i="6"/>
  <c r="K15" i="6"/>
  <c r="U15" i="6" s="1"/>
  <c r="J15" i="6"/>
  <c r="T15" i="6" s="1"/>
  <c r="I15" i="6"/>
  <c r="S15" i="6" s="1"/>
  <c r="H15" i="6"/>
  <c r="R15" i="6" s="1"/>
  <c r="AI14" i="6"/>
  <c r="K14" i="6"/>
  <c r="U14" i="6" s="1"/>
  <c r="J14" i="6"/>
  <c r="T14" i="6" s="1"/>
  <c r="I14" i="6"/>
  <c r="S14" i="6" s="1"/>
  <c r="H14" i="6"/>
  <c r="R14" i="6" s="1"/>
  <c r="AI13" i="6"/>
  <c r="K13" i="6"/>
  <c r="U13" i="6" s="1"/>
  <c r="J13" i="6"/>
  <c r="T13" i="6" s="1"/>
  <c r="I13" i="6"/>
  <c r="S13" i="6" s="1"/>
  <c r="H13" i="6"/>
  <c r="R13" i="6" s="1"/>
  <c r="AI12" i="6"/>
  <c r="K12" i="6"/>
  <c r="U12" i="6" s="1"/>
  <c r="J12" i="6"/>
  <c r="T12" i="6" s="1"/>
  <c r="I12" i="6"/>
  <c r="S12" i="6" s="1"/>
  <c r="H12" i="6"/>
  <c r="R12" i="6" s="1"/>
  <c r="AI11" i="6"/>
  <c r="K11" i="6"/>
  <c r="U11" i="6" s="1"/>
  <c r="J11" i="6"/>
  <c r="T11" i="6" s="1"/>
  <c r="I11" i="6"/>
  <c r="S11" i="6" s="1"/>
  <c r="H11" i="6"/>
  <c r="R11" i="6" s="1"/>
  <c r="AI10" i="6"/>
  <c r="AI21" i="6" s="1"/>
  <c r="AH21" i="6"/>
  <c r="K10" i="6"/>
  <c r="U10" i="6" s="1"/>
  <c r="U21" i="6" s="1"/>
  <c r="J10" i="6"/>
  <c r="T10" i="6" s="1"/>
  <c r="I10" i="6"/>
  <c r="S10" i="6" s="1"/>
  <c r="S21" i="6" s="1"/>
  <c r="H10" i="6"/>
  <c r="R10" i="6" s="1"/>
  <c r="AE31" i="5"/>
  <c r="AE30" i="5"/>
  <c r="AE29" i="5"/>
  <c r="G21" i="5"/>
  <c r="F21" i="5"/>
  <c r="E21" i="5"/>
  <c r="K21" i="5" s="1"/>
  <c r="D21" i="5"/>
  <c r="J21" i="5" s="1"/>
  <c r="C21" i="5"/>
  <c r="I21" i="5" s="1"/>
  <c r="B21" i="5"/>
  <c r="H21" i="5" s="1"/>
  <c r="AI20" i="5"/>
  <c r="AH20" i="5"/>
  <c r="K20" i="5"/>
  <c r="U20" i="5" s="1"/>
  <c r="J20" i="5"/>
  <c r="T20" i="5" s="1"/>
  <c r="I20" i="5"/>
  <c r="S20" i="5" s="1"/>
  <c r="H20" i="5"/>
  <c r="R20" i="5" s="1"/>
  <c r="AI19" i="5"/>
  <c r="K19" i="5"/>
  <c r="U19" i="5" s="1"/>
  <c r="J19" i="5"/>
  <c r="T19" i="5" s="1"/>
  <c r="I19" i="5"/>
  <c r="S19" i="5" s="1"/>
  <c r="H19" i="5"/>
  <c r="R19" i="5" s="1"/>
  <c r="AI18" i="5"/>
  <c r="K18" i="5"/>
  <c r="U18" i="5" s="1"/>
  <c r="J18" i="5"/>
  <c r="T18" i="5" s="1"/>
  <c r="I18" i="5"/>
  <c r="S18" i="5" s="1"/>
  <c r="H18" i="5"/>
  <c r="R18" i="5" s="1"/>
  <c r="AI17" i="5"/>
  <c r="K17" i="5"/>
  <c r="U17" i="5" s="1"/>
  <c r="J17" i="5"/>
  <c r="T17" i="5" s="1"/>
  <c r="I17" i="5"/>
  <c r="S17" i="5" s="1"/>
  <c r="H17" i="5"/>
  <c r="R17" i="5" s="1"/>
  <c r="AI16" i="5"/>
  <c r="K16" i="5"/>
  <c r="U16" i="5" s="1"/>
  <c r="J16" i="5"/>
  <c r="T16" i="5" s="1"/>
  <c r="I16" i="5"/>
  <c r="S16" i="5" s="1"/>
  <c r="H16" i="5"/>
  <c r="R16" i="5" s="1"/>
  <c r="AI15" i="5"/>
  <c r="K15" i="5"/>
  <c r="U15" i="5" s="1"/>
  <c r="J15" i="5"/>
  <c r="T15" i="5" s="1"/>
  <c r="I15" i="5"/>
  <c r="S15" i="5" s="1"/>
  <c r="H15" i="5"/>
  <c r="R15" i="5" s="1"/>
  <c r="AI14" i="5"/>
  <c r="K14" i="5"/>
  <c r="U14" i="5" s="1"/>
  <c r="J14" i="5"/>
  <c r="T14" i="5" s="1"/>
  <c r="I14" i="5"/>
  <c r="S14" i="5" s="1"/>
  <c r="H14" i="5"/>
  <c r="R14" i="5" s="1"/>
  <c r="AI13" i="5"/>
  <c r="K13" i="5"/>
  <c r="U13" i="5" s="1"/>
  <c r="J13" i="5"/>
  <c r="T13" i="5" s="1"/>
  <c r="I13" i="5"/>
  <c r="S13" i="5" s="1"/>
  <c r="H13" i="5"/>
  <c r="R13" i="5" s="1"/>
  <c r="AI12" i="5"/>
  <c r="K12" i="5"/>
  <c r="U12" i="5" s="1"/>
  <c r="J12" i="5"/>
  <c r="T12" i="5" s="1"/>
  <c r="I12" i="5"/>
  <c r="S12" i="5" s="1"/>
  <c r="H12" i="5"/>
  <c r="R12" i="5" s="1"/>
  <c r="AI11" i="5"/>
  <c r="K11" i="5"/>
  <c r="U11" i="5" s="1"/>
  <c r="J11" i="5"/>
  <c r="T11" i="5" s="1"/>
  <c r="I11" i="5"/>
  <c r="S11" i="5" s="1"/>
  <c r="H11" i="5"/>
  <c r="R11" i="5" s="1"/>
  <c r="AI10" i="5"/>
  <c r="AH10" i="5"/>
  <c r="AH21" i="5" s="1"/>
  <c r="K10" i="5"/>
  <c r="U10" i="5" s="1"/>
  <c r="J10" i="5"/>
  <c r="T10" i="5" s="1"/>
  <c r="T21" i="5" s="1"/>
  <c r="I10" i="5"/>
  <c r="S10" i="5" s="1"/>
  <c r="H10" i="5"/>
  <c r="R10" i="5" s="1"/>
  <c r="V18" i="1"/>
  <c r="V17" i="1"/>
  <c r="V16" i="1"/>
  <c r="V15" i="1"/>
  <c r="V13" i="1"/>
  <c r="V12" i="1"/>
  <c r="V11" i="1"/>
  <c r="V10" i="1"/>
  <c r="AE31" i="1"/>
  <c r="AE30" i="1"/>
  <c r="AE29" i="1"/>
  <c r="Z12" i="7" l="1"/>
  <c r="AF12" i="7" s="1"/>
  <c r="V12" i="7"/>
  <c r="AB12" i="7" s="1"/>
  <c r="Y12" i="7"/>
  <c r="AE12" i="7" s="1"/>
  <c r="X12" i="7"/>
  <c r="AD12" i="7" s="1"/>
  <c r="AA12" i="7"/>
  <c r="AG12" i="7" s="1"/>
  <c r="W12" i="7"/>
  <c r="AC12" i="7" s="1"/>
  <c r="Z16" i="7"/>
  <c r="AF16" i="7" s="1"/>
  <c r="V16" i="7"/>
  <c r="AB16" i="7" s="1"/>
  <c r="Y16" i="7"/>
  <c r="AE16" i="7" s="1"/>
  <c r="X16" i="7"/>
  <c r="AD16" i="7" s="1"/>
  <c r="AA16" i="7"/>
  <c r="AG16" i="7" s="1"/>
  <c r="W16" i="7"/>
  <c r="AC16" i="7" s="1"/>
  <c r="Z20" i="7"/>
  <c r="AF20" i="7" s="1"/>
  <c r="V20" i="7"/>
  <c r="AB20" i="7" s="1"/>
  <c r="Y20" i="7"/>
  <c r="AE20" i="7" s="1"/>
  <c r="X20" i="7"/>
  <c r="AD20" i="7" s="1"/>
  <c r="AA20" i="7"/>
  <c r="AG20" i="7" s="1"/>
  <c r="W20" i="7"/>
  <c r="AC20" i="7" s="1"/>
  <c r="AA10" i="7"/>
  <c r="W10" i="7"/>
  <c r="Z10" i="7"/>
  <c r="V10" i="7"/>
  <c r="Y10" i="7"/>
  <c r="R21" i="7"/>
  <c r="X10" i="7"/>
  <c r="AD10" i="7" s="1"/>
  <c r="X13" i="7"/>
  <c r="AD13" i="7" s="1"/>
  <c r="AA13" i="7"/>
  <c r="AG13" i="7" s="1"/>
  <c r="W13" i="7"/>
  <c r="AC13" i="7" s="1"/>
  <c r="Z13" i="7"/>
  <c r="AF13" i="7" s="1"/>
  <c r="V13" i="7"/>
  <c r="AB13" i="7" s="1"/>
  <c r="Y13" i="7"/>
  <c r="AE13" i="7" s="1"/>
  <c r="X17" i="7"/>
  <c r="AD17" i="7" s="1"/>
  <c r="AA17" i="7"/>
  <c r="AG17" i="7" s="1"/>
  <c r="W17" i="7"/>
  <c r="AC17" i="7" s="1"/>
  <c r="Z17" i="7"/>
  <c r="AF17" i="7" s="1"/>
  <c r="V17" i="7"/>
  <c r="AB17" i="7" s="1"/>
  <c r="Y17" i="7"/>
  <c r="AE17" i="7" s="1"/>
  <c r="Z14" i="7"/>
  <c r="AF14" i="7" s="1"/>
  <c r="V14" i="7"/>
  <c r="AB14" i="7" s="1"/>
  <c r="Y14" i="7"/>
  <c r="AE14" i="7" s="1"/>
  <c r="X14" i="7"/>
  <c r="AD14" i="7" s="1"/>
  <c r="AA14" i="7"/>
  <c r="AG14" i="7" s="1"/>
  <c r="W14" i="7"/>
  <c r="AC14" i="7" s="1"/>
  <c r="Z18" i="7"/>
  <c r="AF18" i="7" s="1"/>
  <c r="V18" i="7"/>
  <c r="AB18" i="7" s="1"/>
  <c r="Y18" i="7"/>
  <c r="AE18" i="7" s="1"/>
  <c r="X18" i="7"/>
  <c r="AD18" i="7" s="1"/>
  <c r="AA18" i="7"/>
  <c r="AG18" i="7" s="1"/>
  <c r="W18" i="7"/>
  <c r="AC18" i="7" s="1"/>
  <c r="T21" i="7"/>
  <c r="X21" i="7" s="1"/>
  <c r="AD21" i="7" s="1"/>
  <c r="X11" i="7"/>
  <c r="AD11" i="7" s="1"/>
  <c r="AA11" i="7"/>
  <c r="AG11" i="7" s="1"/>
  <c r="W11" i="7"/>
  <c r="AC11" i="7" s="1"/>
  <c r="Z11" i="7"/>
  <c r="AF11" i="7" s="1"/>
  <c r="V11" i="7"/>
  <c r="AB11" i="7" s="1"/>
  <c r="Y11" i="7"/>
  <c r="AE11" i="7" s="1"/>
  <c r="X15" i="7"/>
  <c r="AD15" i="7" s="1"/>
  <c r="AA15" i="7"/>
  <c r="AG15" i="7" s="1"/>
  <c r="W15" i="7"/>
  <c r="AC15" i="7" s="1"/>
  <c r="Z15" i="7"/>
  <c r="AF15" i="7" s="1"/>
  <c r="V15" i="7"/>
  <c r="AB15" i="7" s="1"/>
  <c r="Y15" i="7"/>
  <c r="AE15" i="7" s="1"/>
  <c r="X19" i="7"/>
  <c r="AD19" i="7" s="1"/>
  <c r="AA19" i="7"/>
  <c r="AG19" i="7" s="1"/>
  <c r="W19" i="7"/>
  <c r="AC19" i="7" s="1"/>
  <c r="Z19" i="7"/>
  <c r="AF19" i="7" s="1"/>
  <c r="V19" i="7"/>
  <c r="AB19" i="7" s="1"/>
  <c r="Y19" i="7"/>
  <c r="AE19" i="7" s="1"/>
  <c r="Z12" i="6"/>
  <c r="AF12" i="6" s="1"/>
  <c r="V12" i="6"/>
  <c r="AB12" i="6" s="1"/>
  <c r="Y12" i="6"/>
  <c r="AE12" i="6" s="1"/>
  <c r="X12" i="6"/>
  <c r="AD12" i="6" s="1"/>
  <c r="AA12" i="6"/>
  <c r="AG12" i="6" s="1"/>
  <c r="W12" i="6"/>
  <c r="AC12" i="6" s="1"/>
  <c r="Z16" i="6"/>
  <c r="AF16" i="6" s="1"/>
  <c r="V16" i="6"/>
  <c r="AB16" i="6" s="1"/>
  <c r="Y16" i="6"/>
  <c r="AE16" i="6" s="1"/>
  <c r="X16" i="6"/>
  <c r="AD16" i="6" s="1"/>
  <c r="AA16" i="6"/>
  <c r="AG16" i="6" s="1"/>
  <c r="W16" i="6"/>
  <c r="AC16" i="6" s="1"/>
  <c r="Z20" i="6"/>
  <c r="AF20" i="6" s="1"/>
  <c r="V20" i="6"/>
  <c r="AB20" i="6" s="1"/>
  <c r="Y20" i="6"/>
  <c r="AE20" i="6" s="1"/>
  <c r="X20" i="6"/>
  <c r="AD20" i="6" s="1"/>
  <c r="AA20" i="6"/>
  <c r="AG20" i="6" s="1"/>
  <c r="W20" i="6"/>
  <c r="AC20" i="6" s="1"/>
  <c r="AA10" i="6"/>
  <c r="W10" i="6"/>
  <c r="Z10" i="6"/>
  <c r="V10" i="6"/>
  <c r="Y10" i="6"/>
  <c r="R21" i="6"/>
  <c r="X10" i="6"/>
  <c r="AD10" i="6" s="1"/>
  <c r="X13" i="6"/>
  <c r="AD13" i="6" s="1"/>
  <c r="AA13" i="6"/>
  <c r="AG13" i="6" s="1"/>
  <c r="W13" i="6"/>
  <c r="AC13" i="6" s="1"/>
  <c r="Z13" i="6"/>
  <c r="AF13" i="6" s="1"/>
  <c r="V13" i="6"/>
  <c r="AB13" i="6" s="1"/>
  <c r="Y13" i="6"/>
  <c r="AE13" i="6" s="1"/>
  <c r="X17" i="6"/>
  <c r="AD17" i="6" s="1"/>
  <c r="AA17" i="6"/>
  <c r="AG17" i="6" s="1"/>
  <c r="W17" i="6"/>
  <c r="AC17" i="6" s="1"/>
  <c r="Z17" i="6"/>
  <c r="AF17" i="6" s="1"/>
  <c r="V17" i="6"/>
  <c r="AB17" i="6" s="1"/>
  <c r="Y17" i="6"/>
  <c r="AE17" i="6" s="1"/>
  <c r="Z14" i="6"/>
  <c r="AF14" i="6" s="1"/>
  <c r="V14" i="6"/>
  <c r="AB14" i="6" s="1"/>
  <c r="Y14" i="6"/>
  <c r="AE14" i="6" s="1"/>
  <c r="X14" i="6"/>
  <c r="AD14" i="6" s="1"/>
  <c r="AA14" i="6"/>
  <c r="AG14" i="6" s="1"/>
  <c r="W14" i="6"/>
  <c r="AC14" i="6" s="1"/>
  <c r="Z18" i="6"/>
  <c r="AF18" i="6" s="1"/>
  <c r="V18" i="6"/>
  <c r="AB18" i="6" s="1"/>
  <c r="Y18" i="6"/>
  <c r="AE18" i="6" s="1"/>
  <c r="X18" i="6"/>
  <c r="AD18" i="6" s="1"/>
  <c r="AA18" i="6"/>
  <c r="AG18" i="6" s="1"/>
  <c r="W18" i="6"/>
  <c r="AC18" i="6" s="1"/>
  <c r="T21" i="6"/>
  <c r="X21" i="6" s="1"/>
  <c r="AD21" i="6" s="1"/>
  <c r="X11" i="6"/>
  <c r="AD11" i="6" s="1"/>
  <c r="AA11" i="6"/>
  <c r="AG11" i="6" s="1"/>
  <c r="W11" i="6"/>
  <c r="AC11" i="6" s="1"/>
  <c r="Z11" i="6"/>
  <c r="AF11" i="6" s="1"/>
  <c r="V11" i="6"/>
  <c r="AB11" i="6" s="1"/>
  <c r="Y11" i="6"/>
  <c r="AE11" i="6" s="1"/>
  <c r="X15" i="6"/>
  <c r="AD15" i="6" s="1"/>
  <c r="AA15" i="6"/>
  <c r="AG15" i="6" s="1"/>
  <c r="W15" i="6"/>
  <c r="AC15" i="6" s="1"/>
  <c r="Z15" i="6"/>
  <c r="AF15" i="6" s="1"/>
  <c r="V15" i="6"/>
  <c r="AB15" i="6" s="1"/>
  <c r="Y15" i="6"/>
  <c r="AE15" i="6" s="1"/>
  <c r="X19" i="6"/>
  <c r="AD19" i="6" s="1"/>
  <c r="AA19" i="6"/>
  <c r="AG19" i="6" s="1"/>
  <c r="W19" i="6"/>
  <c r="AC19" i="6" s="1"/>
  <c r="Z19" i="6"/>
  <c r="AF19" i="6" s="1"/>
  <c r="V19" i="6"/>
  <c r="AB19" i="6" s="1"/>
  <c r="Y19" i="6"/>
  <c r="AE19" i="6" s="1"/>
  <c r="U21" i="5"/>
  <c r="X21" i="5" s="1"/>
  <c r="AD21" i="5" s="1"/>
  <c r="AI21" i="5"/>
  <c r="Z11" i="5"/>
  <c r="AF11" i="5" s="1"/>
  <c r="V11" i="5"/>
  <c r="AB11" i="5" s="1"/>
  <c r="Y11" i="5"/>
  <c r="AE11" i="5" s="1"/>
  <c r="X11" i="5"/>
  <c r="AD11" i="5" s="1"/>
  <c r="AA11" i="5"/>
  <c r="AG11" i="5" s="1"/>
  <c r="W11" i="5"/>
  <c r="AC11" i="5" s="1"/>
  <c r="Z15" i="5"/>
  <c r="AF15" i="5" s="1"/>
  <c r="V15" i="5"/>
  <c r="AB15" i="5" s="1"/>
  <c r="Y15" i="5"/>
  <c r="AE15" i="5" s="1"/>
  <c r="X15" i="5"/>
  <c r="AD15" i="5" s="1"/>
  <c r="AA15" i="5"/>
  <c r="AG15" i="5" s="1"/>
  <c r="W15" i="5"/>
  <c r="AC15" i="5" s="1"/>
  <c r="Z19" i="5"/>
  <c r="AF19" i="5" s="1"/>
  <c r="V19" i="5"/>
  <c r="AB19" i="5" s="1"/>
  <c r="Y19" i="5"/>
  <c r="AE19" i="5" s="1"/>
  <c r="X19" i="5"/>
  <c r="AD19" i="5" s="1"/>
  <c r="AA19" i="5"/>
  <c r="AG19" i="5" s="1"/>
  <c r="W19" i="5"/>
  <c r="AC19" i="5" s="1"/>
  <c r="X12" i="5"/>
  <c r="AD12" i="5" s="1"/>
  <c r="AA12" i="5"/>
  <c r="AG12" i="5" s="1"/>
  <c r="W12" i="5"/>
  <c r="AC12" i="5" s="1"/>
  <c r="Z12" i="5"/>
  <c r="AF12" i="5" s="1"/>
  <c r="V12" i="5"/>
  <c r="AB12" i="5" s="1"/>
  <c r="Y12" i="5"/>
  <c r="AE12" i="5" s="1"/>
  <c r="X16" i="5"/>
  <c r="AD16" i="5" s="1"/>
  <c r="AA16" i="5"/>
  <c r="AG16" i="5" s="1"/>
  <c r="W16" i="5"/>
  <c r="AC16" i="5" s="1"/>
  <c r="Z16" i="5"/>
  <c r="AF16" i="5" s="1"/>
  <c r="V16" i="5"/>
  <c r="AB16" i="5" s="1"/>
  <c r="Y16" i="5"/>
  <c r="AE16" i="5" s="1"/>
  <c r="X20" i="5"/>
  <c r="AD20" i="5" s="1"/>
  <c r="AA20" i="5"/>
  <c r="AG20" i="5" s="1"/>
  <c r="W20" i="5"/>
  <c r="AC20" i="5" s="1"/>
  <c r="Z20" i="5"/>
  <c r="AF20" i="5" s="1"/>
  <c r="V20" i="5"/>
  <c r="AB20" i="5" s="1"/>
  <c r="Y20" i="5"/>
  <c r="AE20" i="5" s="1"/>
  <c r="Z13" i="5"/>
  <c r="AF13" i="5" s="1"/>
  <c r="V13" i="5"/>
  <c r="AB13" i="5" s="1"/>
  <c r="Y13" i="5"/>
  <c r="AE13" i="5" s="1"/>
  <c r="X13" i="5"/>
  <c r="AD13" i="5" s="1"/>
  <c r="AA13" i="5"/>
  <c r="AG13" i="5" s="1"/>
  <c r="W13" i="5"/>
  <c r="AC13" i="5" s="1"/>
  <c r="Z17" i="5"/>
  <c r="AF17" i="5" s="1"/>
  <c r="V17" i="5"/>
  <c r="AB17" i="5" s="1"/>
  <c r="Y17" i="5"/>
  <c r="AE17" i="5" s="1"/>
  <c r="X17" i="5"/>
  <c r="AD17" i="5" s="1"/>
  <c r="AA17" i="5"/>
  <c r="AG17" i="5" s="1"/>
  <c r="W17" i="5"/>
  <c r="AC17" i="5" s="1"/>
  <c r="Y10" i="5"/>
  <c r="R21" i="5"/>
  <c r="X10" i="5"/>
  <c r="AD10" i="5" s="1"/>
  <c r="AA10" i="5"/>
  <c r="W10" i="5"/>
  <c r="Z10" i="5"/>
  <c r="V10" i="5"/>
  <c r="S21" i="5"/>
  <c r="X14" i="5"/>
  <c r="AD14" i="5" s="1"/>
  <c r="AA14" i="5"/>
  <c r="AG14" i="5" s="1"/>
  <c r="W14" i="5"/>
  <c r="AC14" i="5" s="1"/>
  <c r="Z14" i="5"/>
  <c r="AF14" i="5" s="1"/>
  <c r="V14" i="5"/>
  <c r="AB14" i="5" s="1"/>
  <c r="Y14" i="5"/>
  <c r="AE14" i="5" s="1"/>
  <c r="X18" i="5"/>
  <c r="AD18" i="5" s="1"/>
  <c r="AA18" i="5"/>
  <c r="AG18" i="5" s="1"/>
  <c r="W18" i="5"/>
  <c r="AC18" i="5" s="1"/>
  <c r="Z18" i="5"/>
  <c r="AF18" i="5" s="1"/>
  <c r="V18" i="5"/>
  <c r="AB18" i="5" s="1"/>
  <c r="AK18" i="5" s="1"/>
  <c r="Y18" i="5"/>
  <c r="AE18" i="5" s="1"/>
  <c r="AK13" i="7" l="1"/>
  <c r="AK15" i="7"/>
  <c r="AK19" i="7"/>
  <c r="AK11" i="7"/>
  <c r="AK14" i="7"/>
  <c r="Y21" i="7"/>
  <c r="AE10" i="7"/>
  <c r="AA21" i="7"/>
  <c r="AG21" i="7" s="1"/>
  <c r="AG10" i="7"/>
  <c r="V21" i="7"/>
  <c r="AB10" i="7"/>
  <c r="AK20" i="7"/>
  <c r="AK12" i="7"/>
  <c r="AK18" i="7"/>
  <c r="Z21" i="7"/>
  <c r="AF21" i="7" s="1"/>
  <c r="AF10" i="7"/>
  <c r="AK17" i="7"/>
  <c r="W21" i="7"/>
  <c r="AC21" i="7" s="1"/>
  <c r="AC10" i="7"/>
  <c r="AK16" i="7"/>
  <c r="AK13" i="6"/>
  <c r="AK19" i="6"/>
  <c r="AK11" i="6"/>
  <c r="AK14" i="6"/>
  <c r="Y21" i="6"/>
  <c r="AE10" i="6"/>
  <c r="AA21" i="6"/>
  <c r="AG21" i="6" s="1"/>
  <c r="AG10" i="6"/>
  <c r="V21" i="6"/>
  <c r="AB10" i="6"/>
  <c r="AK20" i="6"/>
  <c r="AK12" i="6"/>
  <c r="AK15" i="6"/>
  <c r="AK18" i="6"/>
  <c r="Z21" i="6"/>
  <c r="AF21" i="6" s="1"/>
  <c r="AF10" i="6"/>
  <c r="AK17" i="6"/>
  <c r="W21" i="6"/>
  <c r="AC21" i="6" s="1"/>
  <c r="AC10" i="6"/>
  <c r="AK16" i="6"/>
  <c r="AK20" i="5"/>
  <c r="AK12" i="5"/>
  <c r="AA21" i="5"/>
  <c r="AG21" i="5" s="1"/>
  <c r="AG10" i="5"/>
  <c r="AK17" i="5"/>
  <c r="AK15" i="5"/>
  <c r="V21" i="5"/>
  <c r="AB10" i="5"/>
  <c r="Z21" i="5"/>
  <c r="AF21" i="5" s="1"/>
  <c r="AF10" i="5"/>
  <c r="AK13" i="5"/>
  <c r="AK19" i="5"/>
  <c r="AK11" i="5"/>
  <c r="AK14" i="5"/>
  <c r="W21" i="5"/>
  <c r="AC21" i="5" s="1"/>
  <c r="AC10" i="5"/>
  <c r="Y21" i="5"/>
  <c r="AE10" i="5"/>
  <c r="AK16" i="5"/>
  <c r="AB21" i="7" l="1"/>
  <c r="W24" i="7"/>
  <c r="V24" i="7" s="1"/>
  <c r="V26" i="7" s="1"/>
  <c r="AE21" i="7"/>
  <c r="AK10" i="7"/>
  <c r="AK10" i="6"/>
  <c r="AB21" i="6"/>
  <c r="W24" i="6"/>
  <c r="V24" i="6" s="1"/>
  <c r="V26" i="6" s="1"/>
  <c r="AE21" i="6"/>
  <c r="W24" i="5"/>
  <c r="AE21" i="5"/>
  <c r="V24" i="5"/>
  <c r="V26" i="5" s="1"/>
  <c r="AK10" i="5"/>
  <c r="AB21" i="5"/>
  <c r="AB22" i="7" l="1"/>
  <c r="AK21" i="7"/>
  <c r="AB22" i="6"/>
  <c r="AK21" i="6"/>
  <c r="AB22" i="5"/>
  <c r="AK21" i="5"/>
  <c r="AH10" i="1" l="1"/>
  <c r="AH20" i="1"/>
  <c r="AI20" i="1" l="1"/>
  <c r="AI19" i="1"/>
  <c r="AI17" i="1"/>
  <c r="AI16" i="1"/>
  <c r="AI15" i="1"/>
  <c r="AI14" i="1"/>
  <c r="AI13" i="1"/>
  <c r="AI12" i="1"/>
  <c r="AI11" i="1"/>
  <c r="AI10" i="1"/>
  <c r="AI18" i="1"/>
  <c r="G21" i="1" l="1"/>
  <c r="F21" i="1"/>
  <c r="E21" i="1"/>
  <c r="K21" i="1" s="1"/>
  <c r="D21" i="1"/>
  <c r="J21" i="1" s="1"/>
  <c r="C21" i="1"/>
  <c r="I21" i="1" s="1"/>
  <c r="B21" i="1"/>
  <c r="H21" i="1" s="1"/>
  <c r="K20" i="1"/>
  <c r="U20" i="1" s="1"/>
  <c r="J20" i="1"/>
  <c r="T20" i="1" s="1"/>
  <c r="I20" i="1"/>
  <c r="S20" i="1" s="1"/>
  <c r="H20" i="1"/>
  <c r="R20" i="1" s="1"/>
  <c r="K19" i="1"/>
  <c r="U19" i="1" s="1"/>
  <c r="J19" i="1"/>
  <c r="T19" i="1" s="1"/>
  <c r="I19" i="1"/>
  <c r="S19" i="1" s="1"/>
  <c r="H19" i="1"/>
  <c r="R19" i="1" s="1"/>
  <c r="K18" i="1"/>
  <c r="U18" i="1" s="1"/>
  <c r="J18" i="1"/>
  <c r="T18" i="1" s="1"/>
  <c r="I18" i="1"/>
  <c r="S18" i="1" s="1"/>
  <c r="H18" i="1"/>
  <c r="R18" i="1" s="1"/>
  <c r="K17" i="1"/>
  <c r="U17" i="1" s="1"/>
  <c r="J17" i="1"/>
  <c r="T17" i="1" s="1"/>
  <c r="I17" i="1"/>
  <c r="S17" i="1" s="1"/>
  <c r="H17" i="1"/>
  <c r="R17" i="1" s="1"/>
  <c r="K16" i="1"/>
  <c r="U16" i="1" s="1"/>
  <c r="J16" i="1"/>
  <c r="T16" i="1" s="1"/>
  <c r="I16" i="1"/>
  <c r="S16" i="1" s="1"/>
  <c r="H16" i="1"/>
  <c r="R16" i="1" s="1"/>
  <c r="K15" i="1"/>
  <c r="U15" i="1" s="1"/>
  <c r="J15" i="1"/>
  <c r="T15" i="1" s="1"/>
  <c r="I15" i="1"/>
  <c r="S15" i="1" s="1"/>
  <c r="H15" i="1"/>
  <c r="R15" i="1" s="1"/>
  <c r="K14" i="1"/>
  <c r="U14" i="1" s="1"/>
  <c r="J14" i="1"/>
  <c r="T14" i="1" s="1"/>
  <c r="I14" i="1"/>
  <c r="S14" i="1" s="1"/>
  <c r="H14" i="1"/>
  <c r="R14" i="1" s="1"/>
  <c r="K13" i="1"/>
  <c r="U13" i="1" s="1"/>
  <c r="J13" i="1"/>
  <c r="T13" i="1" s="1"/>
  <c r="I13" i="1"/>
  <c r="S13" i="1" s="1"/>
  <c r="H13" i="1"/>
  <c r="R13" i="1" s="1"/>
  <c r="K12" i="1"/>
  <c r="U12" i="1" s="1"/>
  <c r="J12" i="1"/>
  <c r="T12" i="1" s="1"/>
  <c r="I12" i="1"/>
  <c r="S12" i="1" s="1"/>
  <c r="H12" i="1"/>
  <c r="R12" i="1" s="1"/>
  <c r="K11" i="1"/>
  <c r="U11" i="1" s="1"/>
  <c r="J11" i="1"/>
  <c r="T11" i="1" s="1"/>
  <c r="I11" i="1"/>
  <c r="S11" i="1" s="1"/>
  <c r="H11" i="1"/>
  <c r="R11" i="1" s="1"/>
  <c r="K10" i="1"/>
  <c r="U10" i="1" s="1"/>
  <c r="J10" i="1"/>
  <c r="T10" i="1" s="1"/>
  <c r="I10" i="1"/>
  <c r="S10" i="1" s="1"/>
  <c r="H10" i="1"/>
  <c r="R10" i="1" s="1"/>
  <c r="V19" i="1" l="1"/>
  <c r="V20" i="1"/>
  <c r="V14" i="1"/>
  <c r="Y11" i="1"/>
  <c r="AE11" i="1" s="1"/>
  <c r="W11" i="1"/>
  <c r="AC11" i="1" s="1"/>
  <c r="Z11" i="1"/>
  <c r="AF11" i="1" s="1"/>
  <c r="X11" i="1"/>
  <c r="AD11" i="1" s="1"/>
  <c r="AB11" i="1"/>
  <c r="Z12" i="1"/>
  <c r="AF12" i="1" s="1"/>
  <c r="X12" i="1"/>
  <c r="AD12" i="1" s="1"/>
  <c r="AB12" i="1"/>
  <c r="Y12" i="1"/>
  <c r="AE12" i="1" s="1"/>
  <c r="W12" i="1"/>
  <c r="AC12" i="1" s="1"/>
  <c r="Z13" i="1"/>
  <c r="AF13" i="1" s="1"/>
  <c r="X13" i="1"/>
  <c r="AD13" i="1" s="1"/>
  <c r="AB13" i="1"/>
  <c r="Y13" i="1"/>
  <c r="AE13" i="1" s="1"/>
  <c r="W13" i="1"/>
  <c r="AC13" i="1" s="1"/>
  <c r="Y14" i="1"/>
  <c r="AE14" i="1" s="1"/>
  <c r="W14" i="1"/>
  <c r="AC14" i="1" s="1"/>
  <c r="Z14" i="1"/>
  <c r="AF14" i="1" s="1"/>
  <c r="X14" i="1"/>
  <c r="AD14" i="1" s="1"/>
  <c r="AB14" i="1"/>
  <c r="Y15" i="1"/>
  <c r="AE15" i="1" s="1"/>
  <c r="W15" i="1"/>
  <c r="AC15" i="1" s="1"/>
  <c r="Z15" i="1"/>
  <c r="AF15" i="1" s="1"/>
  <c r="X15" i="1"/>
  <c r="AD15" i="1" s="1"/>
  <c r="AB15" i="1"/>
  <c r="Z16" i="1"/>
  <c r="AF16" i="1" s="1"/>
  <c r="X16" i="1"/>
  <c r="AD16" i="1" s="1"/>
  <c r="AB16" i="1"/>
  <c r="Y16" i="1"/>
  <c r="AE16" i="1" s="1"/>
  <c r="W16" i="1"/>
  <c r="AC16" i="1" s="1"/>
  <c r="Z17" i="1"/>
  <c r="AF17" i="1" s="1"/>
  <c r="X17" i="1"/>
  <c r="AD17" i="1" s="1"/>
  <c r="AB17" i="1"/>
  <c r="Y17" i="1"/>
  <c r="AE17" i="1" s="1"/>
  <c r="W17" i="1"/>
  <c r="AC17" i="1" s="1"/>
  <c r="Y18" i="1"/>
  <c r="AE18" i="1" s="1"/>
  <c r="W18" i="1"/>
  <c r="AC18" i="1" s="1"/>
  <c r="Z18" i="1"/>
  <c r="AF18" i="1" s="1"/>
  <c r="X18" i="1"/>
  <c r="AD18" i="1" s="1"/>
  <c r="AB18" i="1"/>
  <c r="Y19" i="1"/>
  <c r="AE19" i="1" s="1"/>
  <c r="W19" i="1"/>
  <c r="AC19" i="1" s="1"/>
  <c r="Z19" i="1"/>
  <c r="AF19" i="1" s="1"/>
  <c r="X19" i="1"/>
  <c r="AD19" i="1" s="1"/>
  <c r="AB19" i="1"/>
  <c r="Z20" i="1"/>
  <c r="AF20" i="1" s="1"/>
  <c r="X20" i="1"/>
  <c r="AD20" i="1" s="1"/>
  <c r="AB20" i="1"/>
  <c r="Y20" i="1"/>
  <c r="AE20" i="1" s="1"/>
  <c r="W20" i="1"/>
  <c r="AC20" i="1" s="1"/>
  <c r="W10" i="1"/>
  <c r="Y10" i="1"/>
  <c r="AA11" i="1" l="1"/>
  <c r="AH21" i="1"/>
  <c r="AI21" i="1"/>
  <c r="X10" i="1"/>
  <c r="AD10" i="1" s="1"/>
  <c r="AC10" i="1"/>
  <c r="AE10" i="1"/>
  <c r="AA10" i="1"/>
  <c r="AA13" i="1"/>
  <c r="AG13" i="1" s="1"/>
  <c r="Z10" i="1"/>
  <c r="AA12" i="1"/>
  <c r="AG12" i="1" s="1"/>
  <c r="AB10" i="1"/>
  <c r="AG11" i="1" l="1"/>
  <c r="AK11" i="1" s="1"/>
  <c r="AK12" i="1"/>
  <c r="AF10" i="1"/>
  <c r="AG10" i="1"/>
  <c r="AK13" i="1"/>
  <c r="S21" i="1"/>
  <c r="AK10" i="1" l="1"/>
  <c r="AA14" i="1"/>
  <c r="AG14" i="1" s="1"/>
  <c r="AA15" i="1" l="1"/>
  <c r="AG15" i="1" s="1"/>
  <c r="AK14" i="1"/>
  <c r="AK15" i="1" l="1"/>
  <c r="AA16" i="1"/>
  <c r="AG16" i="1" s="1"/>
  <c r="AA17" i="1" l="1"/>
  <c r="AG17" i="1" s="1"/>
  <c r="R21" i="1"/>
  <c r="AK16" i="1"/>
  <c r="AA18" i="1" l="1"/>
  <c r="AG18" i="1" s="1"/>
  <c r="AK17" i="1"/>
  <c r="AK18" i="1" l="1"/>
  <c r="U21" i="1"/>
  <c r="AA19" i="1"/>
  <c r="AG19" i="1" s="1"/>
  <c r="AA20" i="1" l="1"/>
  <c r="AG20" i="1" s="1"/>
  <c r="T21" i="1"/>
  <c r="AK19" i="1"/>
  <c r="X21" i="1" l="1"/>
  <c r="AD21" i="1" s="1"/>
  <c r="AA21" i="1"/>
  <c r="AG21" i="1" s="1"/>
  <c r="V21" i="1"/>
  <c r="Z21" i="1"/>
  <c r="AF21" i="1" s="1"/>
  <c r="W21" i="1"/>
  <c r="AC21" i="1" s="1"/>
  <c r="Y21" i="1"/>
  <c r="W24" i="1" s="1"/>
  <c r="V24" i="1" s="1"/>
  <c r="V26" i="1" l="1"/>
  <c r="AK20" i="1"/>
  <c r="AB21" i="1"/>
  <c r="AE21" i="1"/>
  <c r="AB22" i="1" l="1"/>
  <c r="AK21" i="1"/>
</calcChain>
</file>

<file path=xl/comments1.xml><?xml version="1.0" encoding="utf-8"?>
<comments xmlns="http://schemas.openxmlformats.org/spreadsheetml/2006/main">
  <authors>
    <author>Christof Drexel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50% der Gebäudewärme wird mittels Wärmepumpen bereitgestellt. Für diese Wärmepumpen wird eine Jahresarbeitszahl von 2,5 unterstellt --&gt; 50% :2,5 = 20%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Ermittlung siehe eigene Datei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basierend auf dem Emissionfaktor der elektrischen Energie (13 g/kWh): x 1,66 (Berücksichtigung der 40% Verluste); plus 3 g/kWh für die Infrastruktur der Methanisierung</t>
        </r>
      </text>
    </comment>
    <comment ref="AH10" authorId="0">
      <text>
        <r>
          <rPr>
            <b/>
            <sz val="9"/>
            <color indexed="81"/>
            <rFont val="Tahoma"/>
            <family val="2"/>
          </rPr>
          <t>Effizienzgewinn Klimafarming händisch eingetragen</t>
        </r>
      </text>
    </comment>
    <comment ref="V18" authorId="0">
      <text>
        <r>
          <rPr>
            <b/>
            <sz val="9"/>
            <color indexed="81"/>
            <rFont val="Tahoma"/>
            <family val="2"/>
          </rPr>
          <t>keine Stromanwendung anstelle des Treibstoffs</t>
        </r>
      </text>
    </comment>
    <comment ref="AH20" authorId="0">
      <text>
        <r>
          <rPr>
            <b/>
            <sz val="9"/>
            <color indexed="81"/>
            <rFont val="Tahoma"/>
            <family val="2"/>
          </rPr>
          <t>Effizienzgewinn Klimafarming händisch eingetragen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Netto-Stromverbrauch</t>
        </r>
      </text>
    </comment>
  </commentList>
</comments>
</file>

<file path=xl/comments2.xml><?xml version="1.0" encoding="utf-8"?>
<comments xmlns="http://schemas.openxmlformats.org/spreadsheetml/2006/main">
  <authors>
    <author>Christof Drexel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50% der Gebäudewärme wird mittels Wärmepumpen bereitgestellt. Für diese Wärmepumpen wird eine Jahresarbeitszahl von 2,5 unterstellt --&gt; 50% :2,5 = 20%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Ermittlung siehe eigene Datei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basierend auf dem Emissionfaktor der elektrischen Energie (13 g/kWh): x 1,66 (Berücksichtigung der 40% Verluste); plus 3 g/kWh für die Infrastruktur der Methanisierung</t>
        </r>
      </text>
    </comment>
    <comment ref="AH10" authorId="0">
      <text>
        <r>
          <rPr>
            <b/>
            <sz val="9"/>
            <color indexed="81"/>
            <rFont val="Tahoma"/>
            <family val="2"/>
          </rPr>
          <t>Effizienzgewinn Klimafarming händisch eingetragen</t>
        </r>
      </text>
    </comment>
    <comment ref="V18" authorId="0">
      <text>
        <r>
          <rPr>
            <b/>
            <sz val="9"/>
            <color indexed="81"/>
            <rFont val="Tahoma"/>
            <family val="2"/>
          </rPr>
          <t>keine Stromanwendung anstelle des Treibstoffs</t>
        </r>
      </text>
    </comment>
    <comment ref="AH20" authorId="0">
      <text>
        <r>
          <rPr>
            <b/>
            <sz val="9"/>
            <color indexed="81"/>
            <rFont val="Tahoma"/>
            <family val="2"/>
          </rPr>
          <t>Effizienzgewinn Klimafarming händisch eingetragen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Netto-Stromverbrauch</t>
        </r>
      </text>
    </comment>
  </commentList>
</comments>
</file>

<file path=xl/comments3.xml><?xml version="1.0" encoding="utf-8"?>
<comments xmlns="http://schemas.openxmlformats.org/spreadsheetml/2006/main">
  <authors>
    <author>Christof Drexel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80% der Gebäudewärme wird mittels Wärmepumpen bereitgestellt. Für diese Wärmepumpen wird eine Jahresarbeitszahl von 2,5 unterstellt --&gt; 80% :2,5 = 32%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Ermittlung siehe eigene Datei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basierend auf dem Emissionfaktor der elektrischen Energie (13 g/kWh): x 1,66 (Berücksichtigung der 40% Verluste); plus 3 g/kWh für die Infrastruktur der Methanisierung</t>
        </r>
      </text>
    </comment>
    <comment ref="V18" authorId="0">
      <text>
        <r>
          <rPr>
            <b/>
            <sz val="9"/>
            <color indexed="81"/>
            <rFont val="Tahoma"/>
            <family val="2"/>
          </rPr>
          <t>keine Stromanwendung anstelle des Treibstoffs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Netto-Stromverbrauch</t>
        </r>
      </text>
    </comment>
  </commentList>
</comments>
</file>

<file path=xl/comments4.xml><?xml version="1.0" encoding="utf-8"?>
<comments xmlns="http://schemas.openxmlformats.org/spreadsheetml/2006/main">
  <authors>
    <author>Christof Drexel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85% der Gebäudewärme wird mittels Wärmepumpen bereitgestellt. Für diese Wärmepumpen wird eine Jahresarbeitszahl von 2,5 unterstellt --&gt; 85% :2,5 = 34%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Ermittlung siehe eigene Datei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basierend auf dem Emissionfaktor der elektrischen Energie (13 g/kWh): x 1,66 (Berücksichtigung der 40% Verluste); plus 3 g/kWh für die Infrastruktur der Methanisierung</t>
        </r>
      </text>
    </comment>
    <comment ref="V18" authorId="0">
      <text>
        <r>
          <rPr>
            <b/>
            <sz val="9"/>
            <color indexed="81"/>
            <rFont val="Tahoma"/>
            <family val="2"/>
          </rPr>
          <t>keine Stromanwendung anstelle des Treibstoffs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Netto-Stromverbrauch</t>
        </r>
      </text>
    </comment>
  </commentList>
</comments>
</file>

<file path=xl/sharedStrings.xml><?xml version="1.0" encoding="utf-8"?>
<sst xmlns="http://schemas.openxmlformats.org/spreadsheetml/2006/main" count="316" uniqueCount="65">
  <si>
    <t>für Deutschland, EW:</t>
  </si>
  <si>
    <t>Reduktionen</t>
  </si>
  <si>
    <t>Ergebnisse Energie (Bereiche 1-4)</t>
  </si>
  <si>
    <t>Umschichtung auf Energieträger 2040</t>
  </si>
  <si>
    <t>Bereich</t>
  </si>
  <si>
    <t>Stromanwendungen</t>
  </si>
  <si>
    <t>Treibstoffe</t>
  </si>
  <si>
    <t>Gebäudewärme</t>
  </si>
  <si>
    <t>Prozesswärme</t>
  </si>
  <si>
    <t>Methan und Lachgas</t>
  </si>
  <si>
    <t>TH-Effekt Fliegen</t>
  </si>
  <si>
    <t>Lebensstil</t>
  </si>
  <si>
    <t>Effizienzfaktor Prozesswärme</t>
  </si>
  <si>
    <t>Biomasse, nur Wärme</t>
  </si>
  <si>
    <t>Solarthermie</t>
  </si>
  <si>
    <t>EE-Gas für Prozesswärme (Produktion vorort, keine Verteilverluste)</t>
  </si>
  <si>
    <t>Müllverbrennung und Industrieabwärme</t>
  </si>
  <si>
    <t>Kerosin</t>
  </si>
  <si>
    <t>Tonnen CO2-äq pro Person und Jahr</t>
  </si>
  <si>
    <t>TWh (Endenergie)</t>
  </si>
  <si>
    <t>Faktor</t>
  </si>
  <si>
    <t>TWh (Primärenergie)</t>
  </si>
  <si>
    <t>Ernährung</t>
  </si>
  <si>
    <t>Bauen und Wohnen</t>
  </si>
  <si>
    <t>Öffentlicher Bereich (durch Lebensstil nicht beeinflussbar)</t>
  </si>
  <si>
    <t>Privater Verkehr</t>
  </si>
  <si>
    <t>Sonstiger Konsum</t>
  </si>
  <si>
    <t>Urlaub</t>
  </si>
  <si>
    <t>Sport und Freizeit</t>
  </si>
  <si>
    <t>Fahrzeugbesitz</t>
  </si>
  <si>
    <t>Fliegen</t>
  </si>
  <si>
    <t>Haushaltsstrom</t>
  </si>
  <si>
    <t>Haustiere</t>
  </si>
  <si>
    <t>Gesamt</t>
  </si>
  <si>
    <t>davon:</t>
  </si>
  <si>
    <t>Wasserkraft</t>
  </si>
  <si>
    <t>Wind Onshore</t>
  </si>
  <si>
    <t>Wind Offshore</t>
  </si>
  <si>
    <t>PV</t>
  </si>
  <si>
    <t>CO2-Wirksamkeit</t>
  </si>
  <si>
    <t>Rückrechnung in Energie auf Basis der Emissionsfaktoren in  g/kWh</t>
  </si>
  <si>
    <t>Effizienzfaktor Stromanwendungen: für Haushaltsstrom 0,5; Rest 0,54</t>
  </si>
  <si>
    <t>Effizienzfaktor Gebäudewärme (ohne Gebäudetechnik, ohne Sonstige Effizienz)</t>
  </si>
  <si>
    <t>Effizienz Ernährung: Reduktion Verschwendung</t>
  </si>
  <si>
    <t>Früherer Sektor der Treibstoffe</t>
  </si>
  <si>
    <t>Stromanwendungen:</t>
  </si>
  <si>
    <t>Früherer Sektor Treibstoffe:</t>
  </si>
  <si>
    <t>Gebäudewärme:</t>
  </si>
  <si>
    <t>Prozesswärme:</t>
  </si>
  <si>
    <t>Ausnahme Fliegen: 100% Kerosin</t>
  </si>
  <si>
    <t>Aufteilung der Sektoren auf die einzelnen Energieträger</t>
  </si>
  <si>
    <t>Biomasse, nur Wärme: Nettobedarf zuzüglich 10% Verteilverluste für Fern- und Nahwärmenetze</t>
  </si>
  <si>
    <t>Müllverbrennung und Industrieabwärme: Nettobedarf zzgl. Verteilverluste</t>
  </si>
  <si>
    <t>EE-Gas für Prozesswärme</t>
  </si>
  <si>
    <t xml:space="preserve">Emissionsfaktoren neu </t>
  </si>
  <si>
    <t>Verbleibende CO2-Emission je Lebensbereich:</t>
  </si>
  <si>
    <t>zzgl. Verluste CH4</t>
  </si>
  <si>
    <t>Gesamtstrombedarf, brutto:</t>
  </si>
  <si>
    <t>Biomasse inkl. Biogas</t>
  </si>
  <si>
    <t>Sonstige</t>
  </si>
  <si>
    <t>Volllaststunden</t>
  </si>
  <si>
    <t>Erforderliche installierte Leistung, Wind und PV:</t>
  </si>
  <si>
    <t>Leistung in GW</t>
  </si>
  <si>
    <t>Stromanwendungen, ohne EE-Gas; aber zzgl. 14% Verluste (8% Verteilung und Eigenbedarf, 6%, das sind 26 TWh für Elektrolyse und Rückverstromung)</t>
  </si>
  <si>
    <t>Effizienzfaktor Treibstoffe: privater Verkehr 0,4; Kerosin 0,8; Rest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</si>
</sst>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textRotation="90"/>
    </xf>
    <xf numFmtId="0" fontId="0" fillId="0" borderId="1" xfId="0" applyFill="1" applyBorder="1" applyAlignment="1">
      <alignment textRotation="90"/>
    </xf>
    <xf numFmtId="0" fontId="0" fillId="0" borderId="1" xfId="0" applyFill="1" applyBorder="1" applyAlignment="1">
      <alignment textRotation="90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2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Fill="1" applyBorder="1"/>
    <xf numFmtId="2" fontId="2" fillId="0" borderId="1" xfId="0" applyNumberFormat="1" applyFont="1" applyFill="1" applyBorder="1"/>
    <xf numFmtId="2" fontId="0" fillId="0" borderId="5" xfId="0" applyNumberFormat="1" applyBorder="1"/>
    <xf numFmtId="0" fontId="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2" fillId="0" borderId="0" xfId="0" applyFont="1" applyBorder="1"/>
    <xf numFmtId="165" fontId="2" fillId="0" borderId="0" xfId="0" applyNumberFormat="1" applyFont="1" applyBorder="1"/>
    <xf numFmtId="165" fontId="0" fillId="0" borderId="0" xfId="0" applyNumberFormat="1"/>
    <xf numFmtId="0" fontId="2" fillId="0" borderId="0" xfId="0" applyFont="1" applyFill="1" applyBorder="1"/>
    <xf numFmtId="0" fontId="0" fillId="2" borderId="1" xfId="0" applyFill="1" applyBorder="1" applyAlignment="1">
      <alignment textRotation="90"/>
    </xf>
    <xf numFmtId="0" fontId="0" fillId="2" borderId="1" xfId="0" applyFill="1" applyBorder="1" applyAlignment="1">
      <alignment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5" fontId="2" fillId="0" borderId="1" xfId="0" applyNumberFormat="1" applyFont="1" applyBorder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9" fontId="0" fillId="0" borderId="1" xfId="0" applyNumberFormat="1" applyBorder="1"/>
    <xf numFmtId="0" fontId="0" fillId="0" borderId="1" xfId="0" applyBorder="1"/>
    <xf numFmtId="0" fontId="0" fillId="0" borderId="1" xfId="0" applyFont="1" applyBorder="1" applyAlignment="1">
      <alignment textRotation="90" wrapText="1"/>
    </xf>
    <xf numFmtId="0" fontId="1" fillId="0" borderId="1" xfId="0" applyFont="1" applyFill="1" applyBorder="1" applyAlignment="1">
      <alignment textRotation="90" wrapText="1"/>
    </xf>
    <xf numFmtId="0" fontId="1" fillId="0" borderId="1" xfId="0" applyFont="1" applyBorder="1"/>
    <xf numFmtId="2" fontId="1" fillId="0" borderId="1" xfId="0" applyNumberFormat="1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2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1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452887</xdr:colOff>
      <xdr:row>21</xdr:row>
      <xdr:rowOff>80463</xdr:rowOff>
    </xdr:from>
    <xdr:to>
      <xdr:col>24</xdr:col>
      <xdr:colOff>478624</xdr:colOff>
      <xdr:row>24</xdr:row>
      <xdr:rowOff>11207</xdr:rowOff>
    </xdr:to>
    <xdr:sp macro="" textlink="">
      <xdr:nvSpPr>
        <xdr:cNvPr id="2" name="Nach oben gebogener Pfeil 1"/>
        <xdr:cNvSpPr/>
      </xdr:nvSpPr>
      <xdr:spPr>
        <a:xfrm rot="16200000" flipH="1">
          <a:off x="14311634" y="7187922"/>
          <a:ext cx="513450" cy="530001"/>
        </a:xfrm>
        <a:prstGeom prst="bentUpArrow">
          <a:avLst>
            <a:gd name="adj1" fmla="val 13787"/>
            <a:gd name="adj2" fmla="val 1779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452887</xdr:colOff>
      <xdr:row>21</xdr:row>
      <xdr:rowOff>80463</xdr:rowOff>
    </xdr:from>
    <xdr:to>
      <xdr:col>24</xdr:col>
      <xdr:colOff>478624</xdr:colOff>
      <xdr:row>24</xdr:row>
      <xdr:rowOff>11207</xdr:rowOff>
    </xdr:to>
    <xdr:sp macro="" textlink="">
      <xdr:nvSpPr>
        <xdr:cNvPr id="2" name="Nach oben gebogener Pfeil 1"/>
        <xdr:cNvSpPr/>
      </xdr:nvSpPr>
      <xdr:spPr>
        <a:xfrm rot="16200000" flipH="1">
          <a:off x="14340208" y="7195767"/>
          <a:ext cx="511769" cy="530562"/>
        </a:xfrm>
        <a:prstGeom prst="bentUpArrow">
          <a:avLst>
            <a:gd name="adj1" fmla="val 13787"/>
            <a:gd name="adj2" fmla="val 1779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452887</xdr:colOff>
      <xdr:row>21</xdr:row>
      <xdr:rowOff>80463</xdr:rowOff>
    </xdr:from>
    <xdr:to>
      <xdr:col>24</xdr:col>
      <xdr:colOff>478624</xdr:colOff>
      <xdr:row>24</xdr:row>
      <xdr:rowOff>11207</xdr:rowOff>
    </xdr:to>
    <xdr:sp macro="" textlink="">
      <xdr:nvSpPr>
        <xdr:cNvPr id="2" name="Nach oben gebogener Pfeil 1"/>
        <xdr:cNvSpPr/>
      </xdr:nvSpPr>
      <xdr:spPr>
        <a:xfrm rot="16200000" flipH="1">
          <a:off x="14340208" y="7195767"/>
          <a:ext cx="511769" cy="530562"/>
        </a:xfrm>
        <a:prstGeom prst="bentUpArrow">
          <a:avLst>
            <a:gd name="adj1" fmla="val 13787"/>
            <a:gd name="adj2" fmla="val 1779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452887</xdr:colOff>
      <xdr:row>21</xdr:row>
      <xdr:rowOff>80463</xdr:rowOff>
    </xdr:from>
    <xdr:to>
      <xdr:col>24</xdr:col>
      <xdr:colOff>478624</xdr:colOff>
      <xdr:row>24</xdr:row>
      <xdr:rowOff>11207</xdr:rowOff>
    </xdr:to>
    <xdr:sp macro="" textlink="">
      <xdr:nvSpPr>
        <xdr:cNvPr id="2" name="Nach oben gebogener Pfeil 1"/>
        <xdr:cNvSpPr/>
      </xdr:nvSpPr>
      <xdr:spPr>
        <a:xfrm rot="16200000" flipH="1">
          <a:off x="14340208" y="7195767"/>
          <a:ext cx="511769" cy="530562"/>
        </a:xfrm>
        <a:prstGeom prst="bentUpArrow">
          <a:avLst>
            <a:gd name="adj1" fmla="val 13787"/>
            <a:gd name="adj2" fmla="val 1779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9"/>
  <sheetViews>
    <sheetView tabSelected="1" zoomScale="85" zoomScaleNormal="85" workbookViewId="0">
      <selection activeCell="E8" sqref="E8"/>
    </sheetView>
  </sheetViews>
  <sheetFormatPr baseColWidth="10" defaultRowHeight="15" x14ac:dyDescent="0.25"/>
  <cols>
    <col min="1" max="1" width="35.140625" bestFit="1" customWidth="1"/>
    <col min="2" max="7" width="6.85546875" customWidth="1"/>
    <col min="8" max="11" width="9.28515625" customWidth="1"/>
    <col min="12" max="17" width="6.42578125" customWidth="1"/>
    <col min="18" max="21" width="8.28515625" customWidth="1"/>
    <col min="22" max="22" width="12.7109375" customWidth="1"/>
    <col min="23" max="23" width="10.28515625" customWidth="1"/>
    <col min="24" max="24" width="7.5703125" customWidth="1"/>
    <col min="25" max="25" width="10.28515625" customWidth="1"/>
    <col min="26" max="26" width="9.42578125" customWidth="1"/>
    <col min="27" max="27" width="7.5703125" customWidth="1"/>
    <col min="28" max="35" width="5.5703125" customWidth="1"/>
    <col min="36" max="36" width="7" customWidth="1"/>
    <col min="37" max="37" width="7.140625" bestFit="1" customWidth="1"/>
  </cols>
  <sheetData>
    <row r="1" spans="1:37" x14ac:dyDescent="0.25">
      <c r="V1" s="45" t="s">
        <v>50</v>
      </c>
      <c r="W1" s="46"/>
      <c r="X1" s="46"/>
      <c r="Y1" s="46"/>
      <c r="Z1" s="46"/>
      <c r="AA1" s="47"/>
    </row>
    <row r="2" spans="1:37" x14ac:dyDescent="0.25">
      <c r="U2" s="1" t="s">
        <v>45</v>
      </c>
      <c r="V2" s="48">
        <v>1</v>
      </c>
      <c r="W2" s="49"/>
      <c r="X2" s="49"/>
      <c r="Y2" s="49"/>
      <c r="Z2" s="49"/>
      <c r="AA2" s="49"/>
    </row>
    <row r="3" spans="1:37" x14ac:dyDescent="0.25">
      <c r="N3" s="3"/>
      <c r="U3" s="1" t="s">
        <v>46</v>
      </c>
      <c r="V3" s="48">
        <v>0.88</v>
      </c>
      <c r="W3" s="49"/>
      <c r="X3" s="49"/>
      <c r="Y3" s="49"/>
      <c r="Z3" s="49"/>
      <c r="AA3" s="48">
        <v>0.12</v>
      </c>
      <c r="AB3" t="s">
        <v>49</v>
      </c>
    </row>
    <row r="4" spans="1:37" x14ac:dyDescent="0.25">
      <c r="U4" s="1" t="s">
        <v>47</v>
      </c>
      <c r="V4" s="48">
        <v>0.2</v>
      </c>
      <c r="W4" s="48">
        <v>0.25</v>
      </c>
      <c r="X4" s="48">
        <v>0.05</v>
      </c>
      <c r="Y4" s="49"/>
      <c r="Z4" s="48">
        <v>0.2</v>
      </c>
      <c r="AA4" s="49"/>
      <c r="AB4" s="2"/>
    </row>
    <row r="5" spans="1:37" x14ac:dyDescent="0.25">
      <c r="I5" s="1" t="s">
        <v>0</v>
      </c>
      <c r="J5" s="5">
        <v>82800000</v>
      </c>
      <c r="K5" s="5"/>
      <c r="U5" s="1" t="s">
        <v>48</v>
      </c>
      <c r="V5" s="48">
        <v>0.15</v>
      </c>
      <c r="W5" s="48">
        <v>0.25</v>
      </c>
      <c r="X5" s="48">
        <v>0.1</v>
      </c>
      <c r="Y5" s="48">
        <v>0.5</v>
      </c>
      <c r="Z5" s="48"/>
      <c r="AA5" s="49"/>
    </row>
    <row r="6" spans="1:37" ht="48" customHeight="1" x14ac:dyDescent="0.25">
      <c r="B6" s="4" t="s">
        <v>39</v>
      </c>
      <c r="C6" s="4"/>
      <c r="D6" s="4"/>
      <c r="E6" s="4"/>
      <c r="F6" s="4"/>
      <c r="G6" s="4"/>
      <c r="H6" s="6" t="s">
        <v>40</v>
      </c>
      <c r="I6" s="7"/>
      <c r="J6" s="7"/>
      <c r="K6" s="8"/>
      <c r="L6" s="16" t="s">
        <v>1</v>
      </c>
      <c r="M6" s="17"/>
      <c r="N6" s="17"/>
      <c r="O6" s="17"/>
      <c r="P6" s="17"/>
      <c r="Q6" s="18"/>
      <c r="R6" s="5" t="s">
        <v>2</v>
      </c>
      <c r="S6" s="5"/>
      <c r="T6" s="5"/>
      <c r="U6" s="5"/>
      <c r="V6" s="4" t="s">
        <v>3</v>
      </c>
      <c r="W6" s="4"/>
      <c r="X6" s="4"/>
      <c r="Y6" s="4"/>
      <c r="Z6" s="4"/>
      <c r="AA6" s="4"/>
      <c r="AB6" s="6" t="s">
        <v>54</v>
      </c>
      <c r="AC6" s="7"/>
      <c r="AD6" s="7"/>
      <c r="AE6" s="7"/>
      <c r="AF6" s="7"/>
      <c r="AG6" s="8"/>
    </row>
    <row r="7" spans="1:37" ht="27.75" customHeight="1" x14ac:dyDescent="0.25">
      <c r="B7" s="41"/>
      <c r="C7" s="41"/>
      <c r="D7" s="41"/>
      <c r="E7" s="41"/>
      <c r="F7" s="41"/>
      <c r="G7" s="41"/>
      <c r="H7" s="43">
        <v>507</v>
      </c>
      <c r="I7" s="43">
        <v>310</v>
      </c>
      <c r="J7" s="43">
        <v>258</v>
      </c>
      <c r="K7" s="43">
        <v>312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1"/>
      <c r="AA7" s="41"/>
      <c r="AB7" s="43">
        <v>13</v>
      </c>
      <c r="AC7" s="43">
        <v>25</v>
      </c>
      <c r="AD7" s="43">
        <v>20</v>
      </c>
      <c r="AE7" s="43">
        <v>25</v>
      </c>
      <c r="AF7" s="43">
        <v>25</v>
      </c>
      <c r="AG7" s="43">
        <v>280</v>
      </c>
    </row>
    <row r="8" spans="1:37" ht="200.25" customHeight="1" x14ac:dyDescent="0.25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5</v>
      </c>
      <c r="I8" s="10" t="s">
        <v>6</v>
      </c>
      <c r="J8" s="10" t="s">
        <v>7</v>
      </c>
      <c r="K8" s="10" t="s">
        <v>8</v>
      </c>
      <c r="L8" s="38" t="s">
        <v>11</v>
      </c>
      <c r="M8" s="39" t="s">
        <v>41</v>
      </c>
      <c r="N8" s="39" t="s">
        <v>64</v>
      </c>
      <c r="O8" s="39" t="s">
        <v>42</v>
      </c>
      <c r="P8" s="38" t="s">
        <v>12</v>
      </c>
      <c r="Q8" s="39" t="s">
        <v>43</v>
      </c>
      <c r="R8" s="10" t="s">
        <v>5</v>
      </c>
      <c r="S8" s="10" t="s">
        <v>44</v>
      </c>
      <c r="T8" s="10" t="s">
        <v>7</v>
      </c>
      <c r="U8" s="10" t="s">
        <v>8</v>
      </c>
      <c r="V8" s="50" t="s">
        <v>63</v>
      </c>
      <c r="W8" s="12" t="s">
        <v>51</v>
      </c>
      <c r="X8" s="11" t="s">
        <v>14</v>
      </c>
      <c r="Y8" s="12" t="s">
        <v>15</v>
      </c>
      <c r="Z8" s="12" t="s">
        <v>52</v>
      </c>
      <c r="AA8" s="11" t="s">
        <v>17</v>
      </c>
      <c r="AB8" s="50" t="s">
        <v>5</v>
      </c>
      <c r="AC8" s="12" t="s">
        <v>13</v>
      </c>
      <c r="AD8" s="11" t="s">
        <v>14</v>
      </c>
      <c r="AE8" s="12" t="s">
        <v>53</v>
      </c>
      <c r="AF8" s="12" t="s">
        <v>16</v>
      </c>
      <c r="AG8" s="11" t="s">
        <v>17</v>
      </c>
      <c r="AH8" s="10" t="s">
        <v>9</v>
      </c>
      <c r="AI8" s="10" t="s">
        <v>10</v>
      </c>
      <c r="AK8" s="51" t="s">
        <v>55</v>
      </c>
    </row>
    <row r="9" spans="1:37" x14ac:dyDescent="0.25">
      <c r="A9" s="9"/>
      <c r="B9" s="13" t="s">
        <v>18</v>
      </c>
      <c r="C9" s="14"/>
      <c r="D9" s="14"/>
      <c r="E9" s="14"/>
      <c r="F9" s="14"/>
      <c r="G9" s="15"/>
      <c r="H9" s="5" t="s">
        <v>19</v>
      </c>
      <c r="I9" s="5"/>
      <c r="J9" s="5"/>
      <c r="K9" s="5"/>
      <c r="L9" s="16" t="s">
        <v>20</v>
      </c>
      <c r="M9" s="17"/>
      <c r="N9" s="17"/>
      <c r="O9" s="17"/>
      <c r="P9" s="17"/>
      <c r="Q9" s="18"/>
      <c r="R9" s="5" t="s">
        <v>19</v>
      </c>
      <c r="S9" s="5"/>
      <c r="T9" s="5"/>
      <c r="U9" s="5"/>
      <c r="V9" s="16" t="s">
        <v>21</v>
      </c>
      <c r="W9" s="17"/>
      <c r="X9" s="17"/>
      <c r="Y9" s="17"/>
      <c r="Z9" s="17"/>
      <c r="AA9" s="18"/>
      <c r="AB9" s="19" t="s">
        <v>18</v>
      </c>
      <c r="AC9" s="19"/>
      <c r="AD9" s="19"/>
      <c r="AE9" s="19"/>
      <c r="AF9" s="19"/>
      <c r="AG9" s="19"/>
      <c r="AH9" s="19"/>
      <c r="AI9" s="19"/>
      <c r="AK9" s="52"/>
    </row>
    <row r="10" spans="1:37" x14ac:dyDescent="0.25">
      <c r="A10" s="20" t="s">
        <v>22</v>
      </c>
      <c r="B10" s="21">
        <v>0.32400000000000001</v>
      </c>
      <c r="C10" s="21">
        <v>0.14400000000000002</v>
      </c>
      <c r="D10" s="21">
        <v>7.2000000000000008E-2</v>
      </c>
      <c r="E10" s="21">
        <v>0.14400000000000002</v>
      </c>
      <c r="F10" s="21">
        <v>1.0620000000000001</v>
      </c>
      <c r="G10" s="21">
        <v>5.3999999999999999E-2</v>
      </c>
      <c r="H10" s="22">
        <f>B10*$J$5/(H$7/1000000)/1000000000</f>
        <v>52.913609467455629</v>
      </c>
      <c r="I10" s="22">
        <f>C10*$J$5/(I$7/1000000)/1000000000</f>
        <v>38.461935483870974</v>
      </c>
      <c r="J10" s="22">
        <f>D10*$J$5/(J$7/1000000)/1000000000</f>
        <v>23.106976744186049</v>
      </c>
      <c r="K10" s="22">
        <f>E10*$J$5/(K$7/1000000)/1000000000</f>
        <v>38.215384615384622</v>
      </c>
      <c r="L10" s="23">
        <v>0.56000000000000005</v>
      </c>
      <c r="M10" s="23">
        <v>0.54</v>
      </c>
      <c r="N10" s="23">
        <v>0.5</v>
      </c>
      <c r="O10" s="23">
        <v>0.35</v>
      </c>
      <c r="P10" s="23">
        <v>0.6</v>
      </c>
      <c r="Q10" s="23">
        <v>0.9</v>
      </c>
      <c r="R10" s="44">
        <f>H10*$L10*M10*$Q10</f>
        <v>14.400967952662727</v>
      </c>
      <c r="S10" s="44">
        <f t="shared" ref="S10:U10" si="0">I10*$L10*N10*$Q10</f>
        <v>9.6924077419354866</v>
      </c>
      <c r="T10" s="44">
        <f t="shared" si="0"/>
        <v>4.0760706976744192</v>
      </c>
      <c r="U10" s="44">
        <f t="shared" si="0"/>
        <v>11.556332307692308</v>
      </c>
      <c r="V10" s="22">
        <f>($R10*V$2+$S10*V$3+$T10*V$4+$U10*V$5)*1.14</f>
        <v>29.046003856430339</v>
      </c>
      <c r="W10" s="22">
        <f>($R10*W$2+$S10*W$3+$T10*W$4+$U10*W$5)*1.1</f>
        <v>4.2989108264758507</v>
      </c>
      <c r="X10" s="22">
        <f>$R10*X$2+$S10*X$3+$T10*X$4+$U10*X$5</f>
        <v>1.359436765652952</v>
      </c>
      <c r="Y10" s="22">
        <f t="shared" ref="Y10:Y20" si="1">($R10*Y$2+$S10*Y$3+$T10*Y$4+$U10*Y$5)</f>
        <v>5.7781661538461542</v>
      </c>
      <c r="Z10" s="22">
        <f t="shared" ref="Z10:Z20" si="2">($R10*Z$2+$S10*Z$3+$T10*Z$4+$U10*Z$5)*1.12</f>
        <v>0.91303983627907004</v>
      </c>
      <c r="AA10" s="22">
        <f>$R10*AA$2+$S10*AA$3+$T10*AA$4+$U10*AA$5</f>
        <v>1.1630889290322584</v>
      </c>
      <c r="AB10" s="21">
        <f>V10/$J$5*1000000000*AB$7/1000000</f>
        <v>4.5603629243187735E-3</v>
      </c>
      <c r="AC10" s="21">
        <f>W10/$J$5*1000000000*AC$7/1000000</f>
        <v>1.2979803220035783E-3</v>
      </c>
      <c r="AD10" s="21">
        <f>X10/$J$5*1000000000*AD$7/1000000</f>
        <v>3.2836636851520578E-4</v>
      </c>
      <c r="AE10" s="21">
        <f>Y10/$J$5*1000000000*AE$7/1000000</f>
        <v>1.7446153846153848E-3</v>
      </c>
      <c r="AF10" s="21">
        <f>Z10/$J$5*1000000000*AF$7/1000000</f>
        <v>2.7567627906976755E-4</v>
      </c>
      <c r="AG10" s="21">
        <f>AA10/$J$5*1000000000*AG$7/1000000</f>
        <v>3.9331509677419368E-3</v>
      </c>
      <c r="AH10" s="25">
        <f>F10*$L10*Q10-0.248</f>
        <v>0.28724800000000017</v>
      </c>
      <c r="AI10" s="25">
        <f t="shared" ref="AI10:AI20" si="3">G10*$L10*N$18</f>
        <v>2.4192000000000005E-2</v>
      </c>
      <c r="AK10" s="53">
        <f>SUM(AB10:AI10)</f>
        <v>0.3235801522462648</v>
      </c>
    </row>
    <row r="11" spans="1:37" x14ac:dyDescent="0.25">
      <c r="A11" s="9" t="s">
        <v>23</v>
      </c>
      <c r="B11" s="21">
        <v>5.6999999999999995E-2</v>
      </c>
      <c r="C11" s="21">
        <v>0.1</v>
      </c>
      <c r="D11" s="21">
        <v>1.56</v>
      </c>
      <c r="E11" s="21">
        <v>0.19</v>
      </c>
      <c r="F11" s="21">
        <v>0</v>
      </c>
      <c r="G11" s="21">
        <v>0</v>
      </c>
      <c r="H11" s="22">
        <f>B11*$J$5/(H$7/1000000)/1000000000</f>
        <v>9.3088757396449715</v>
      </c>
      <c r="I11" s="22">
        <f>C11*$J$5/(I$7/1000000)/1000000000</f>
        <v>26.70967741935484</v>
      </c>
      <c r="J11" s="22">
        <f>D11*$J$5/(J$7/1000000)/1000000000</f>
        <v>500.6511627906977</v>
      </c>
      <c r="K11" s="22">
        <f>E11*$J$5/(K$7/1000000)/1000000000</f>
        <v>50.423076923076927</v>
      </c>
      <c r="L11" s="23">
        <v>0.95</v>
      </c>
      <c r="M11" s="23">
        <v>0.54</v>
      </c>
      <c r="N11" s="23">
        <v>0.5</v>
      </c>
      <c r="O11" s="23">
        <v>0.35</v>
      </c>
      <c r="P11" s="23">
        <v>0.6</v>
      </c>
      <c r="Q11" s="23">
        <v>1</v>
      </c>
      <c r="R11" s="44">
        <f t="shared" ref="R11:R20" si="4">H11*$L11*M11*$Q11</f>
        <v>4.7754532544378705</v>
      </c>
      <c r="S11" s="44">
        <f t="shared" ref="S11:S20" si="5">I11*$L11*N11*$Q11</f>
        <v>12.687096774193549</v>
      </c>
      <c r="T11" s="44">
        <f t="shared" ref="T11:T20" si="6">J11*$L11*O11*$Q11</f>
        <v>166.46651162790698</v>
      </c>
      <c r="U11" s="44">
        <f t="shared" ref="U11:U20" si="7">K11*$L11*P11*$Q11</f>
        <v>28.741153846153846</v>
      </c>
      <c r="V11" s="22">
        <f t="shared" ref="V11:V17" si="8">($R11*V$2+$S11*V$3+$T11*V$4+$U11*V$5)*1.14</f>
        <v>61.040814152785238</v>
      </c>
      <c r="W11" s="22">
        <f t="shared" ref="W11:W20" si="9">($R11*W$2+$S11*W$3+$T11*W$4+$U11*W$5)*1.1</f>
        <v>53.682108005366736</v>
      </c>
      <c r="X11" s="22">
        <f t="shared" ref="X11:X20" si="10">$R11*X$2+$S11*X$3+$T11*X$4+$U11*X$5</f>
        <v>11.197440966010735</v>
      </c>
      <c r="Y11" s="22">
        <f t="shared" si="1"/>
        <v>14.370576923076923</v>
      </c>
      <c r="Z11" s="22">
        <f t="shared" si="2"/>
        <v>37.288498604651174</v>
      </c>
      <c r="AA11" s="22">
        <f t="shared" ref="AA11:AA20" si="11">$R11*AA$2+$S11*AA$3+$T11*AA$4+$U11*AA$5</f>
        <v>1.5224516129032257</v>
      </c>
      <c r="AB11" s="21">
        <f t="shared" ref="AB11:AB20" si="12">V11/$J$5*1000000000*AB$7/1000000</f>
        <v>9.5837027051474399E-3</v>
      </c>
      <c r="AC11" s="21">
        <f t="shared" ref="AC11:AC20" si="13">W11/$J$5*1000000000*AC$7/1000000</f>
        <v>1.620836594364938E-2</v>
      </c>
      <c r="AD11" s="21">
        <f t="shared" ref="AD11:AD20" si="14">X11/$J$5*1000000000*AD$7/1000000</f>
        <v>2.7046958855098391E-3</v>
      </c>
      <c r="AE11" s="21">
        <f t="shared" ref="AE11:AE20" si="15">Y11/$J$5*1000000000*AE$7/1000000</f>
        <v>4.3389423076923075E-3</v>
      </c>
      <c r="AF11" s="21">
        <f t="shared" ref="AF11:AF20" si="16">Z11/$J$5*1000000000*AF$7/1000000</f>
        <v>1.1258604651162794E-2</v>
      </c>
      <c r="AG11" s="21">
        <f t="shared" ref="AG11:AG20" si="17">AA11/$J$5*1000000000*AG$7/1000000</f>
        <v>5.1483870967741936E-3</v>
      </c>
      <c r="AH11" s="21">
        <v>0</v>
      </c>
      <c r="AI11" s="25">
        <f t="shared" si="3"/>
        <v>0</v>
      </c>
      <c r="AK11" s="53">
        <f t="shared" ref="AK11:AK21" si="18">SUM(AB11:AI11)</f>
        <v>4.9242698589935949E-2</v>
      </c>
    </row>
    <row r="12" spans="1:37" ht="30" x14ac:dyDescent="0.25">
      <c r="A12" s="9" t="s">
        <v>24</v>
      </c>
      <c r="B12" s="21">
        <v>0.76</v>
      </c>
      <c r="C12" s="21">
        <v>0.44</v>
      </c>
      <c r="D12" s="21">
        <v>0.51</v>
      </c>
      <c r="E12" s="21">
        <v>0.13</v>
      </c>
      <c r="F12" s="21">
        <v>0</v>
      </c>
      <c r="G12" s="21">
        <v>0.06</v>
      </c>
      <c r="H12" s="22">
        <f>B12*$J$5/(H$7/1000000)/1000000000</f>
        <v>124.11834319526628</v>
      </c>
      <c r="I12" s="22">
        <f>C12*$J$5/(I$7/1000000)/1000000000</f>
        <v>117.52258064516128</v>
      </c>
      <c r="J12" s="22">
        <f>D12*$J$5/(J$7/1000000)/1000000000</f>
        <v>163.67441860465118</v>
      </c>
      <c r="K12" s="22">
        <f>E12*$J$5/(K$7/1000000)/1000000000</f>
        <v>34.5</v>
      </c>
      <c r="L12" s="23">
        <v>1</v>
      </c>
      <c r="M12" s="23">
        <v>0.54</v>
      </c>
      <c r="N12" s="23">
        <v>0.5</v>
      </c>
      <c r="O12" s="23">
        <v>0.35</v>
      </c>
      <c r="P12" s="23">
        <v>0.6</v>
      </c>
      <c r="Q12" s="23">
        <v>1</v>
      </c>
      <c r="R12" s="44">
        <f t="shared" si="4"/>
        <v>67.023905325443792</v>
      </c>
      <c r="S12" s="44">
        <f t="shared" si="5"/>
        <v>58.761290322580642</v>
      </c>
      <c r="T12" s="44">
        <f t="shared" si="6"/>
        <v>57.286046511627909</v>
      </c>
      <c r="U12" s="44">
        <f t="shared" si="7"/>
        <v>20.7</v>
      </c>
      <c r="V12" s="22">
        <f t="shared" si="8"/>
        <v>151.95749712726999</v>
      </c>
      <c r="W12" s="22">
        <f t="shared" si="9"/>
        <v>21.446162790697674</v>
      </c>
      <c r="X12" s="22">
        <f t="shared" si="10"/>
        <v>4.9343023255813954</v>
      </c>
      <c r="Y12" s="22">
        <f t="shared" si="1"/>
        <v>10.35</v>
      </c>
      <c r="Z12" s="22">
        <f t="shared" si="2"/>
        <v>12.832074418604654</v>
      </c>
      <c r="AA12" s="22">
        <f t="shared" si="11"/>
        <v>7.0513548387096767</v>
      </c>
      <c r="AB12" s="21">
        <f t="shared" si="12"/>
        <v>2.3858061143170406E-2</v>
      </c>
      <c r="AC12" s="21">
        <f t="shared" si="13"/>
        <v>6.475290697674419E-3</v>
      </c>
      <c r="AD12" s="21">
        <f t="shared" si="14"/>
        <v>1.1918604651162791E-3</v>
      </c>
      <c r="AE12" s="21">
        <f t="shared" si="15"/>
        <v>3.1250000000000002E-3</v>
      </c>
      <c r="AF12" s="21">
        <f t="shared" si="16"/>
        <v>3.8744186046511635E-3</v>
      </c>
      <c r="AG12" s="21">
        <f t="shared" si="17"/>
        <v>2.3845161290322579E-2</v>
      </c>
      <c r="AH12" s="21">
        <v>0</v>
      </c>
      <c r="AI12" s="25">
        <f t="shared" si="3"/>
        <v>4.8000000000000001E-2</v>
      </c>
      <c r="AK12" s="53">
        <f t="shared" si="18"/>
        <v>0.11036979220093485</v>
      </c>
    </row>
    <row r="13" spans="1:37" x14ac:dyDescent="0.25">
      <c r="A13" s="20" t="s">
        <v>25</v>
      </c>
      <c r="B13" s="21">
        <v>4.4999999999999998E-2</v>
      </c>
      <c r="C13" s="21">
        <v>1.4550000000000001</v>
      </c>
      <c r="D13" s="21">
        <v>0</v>
      </c>
      <c r="E13" s="21">
        <v>0</v>
      </c>
      <c r="F13" s="21">
        <v>0</v>
      </c>
      <c r="G13" s="21">
        <v>0</v>
      </c>
      <c r="H13" s="22">
        <f>B13*$J$5/(H$7/1000000)/1000000000</f>
        <v>7.3491124260355036</v>
      </c>
      <c r="I13" s="22">
        <f>C13*$J$5/(I$7/1000000)/1000000000</f>
        <v>388.6258064516129</v>
      </c>
      <c r="J13" s="22">
        <f>D13*$J$5/(J$7/1000000)/1000000000</f>
        <v>0</v>
      </c>
      <c r="K13" s="22">
        <f>E13*$J$5/(K$7/1000000)/1000000000</f>
        <v>0</v>
      </c>
      <c r="L13" s="23">
        <v>0.5</v>
      </c>
      <c r="M13" s="23">
        <v>0.54</v>
      </c>
      <c r="N13" s="23">
        <v>0.4</v>
      </c>
      <c r="O13" s="23">
        <v>0.35</v>
      </c>
      <c r="P13" s="23">
        <v>0.6</v>
      </c>
      <c r="Q13" s="23">
        <v>1</v>
      </c>
      <c r="R13" s="44">
        <f t="shared" si="4"/>
        <v>1.9842603550295861</v>
      </c>
      <c r="S13" s="44">
        <f t="shared" si="5"/>
        <v>77.725161290322589</v>
      </c>
      <c r="T13" s="44">
        <f t="shared" si="6"/>
        <v>0</v>
      </c>
      <c r="U13" s="44">
        <f t="shared" si="7"/>
        <v>0</v>
      </c>
      <c r="V13" s="22">
        <f t="shared" si="8"/>
        <v>80.235938611185347</v>
      </c>
      <c r="W13" s="22">
        <f t="shared" si="9"/>
        <v>0</v>
      </c>
      <c r="X13" s="22">
        <f t="shared" si="10"/>
        <v>0</v>
      </c>
      <c r="Y13" s="22">
        <f t="shared" si="1"/>
        <v>0</v>
      </c>
      <c r="Z13" s="22">
        <f t="shared" si="2"/>
        <v>0</v>
      </c>
      <c r="AA13" s="22">
        <f t="shared" si="11"/>
        <v>9.3270193548387095</v>
      </c>
      <c r="AB13" s="21">
        <f t="shared" si="12"/>
        <v>1.2597429975186104E-2</v>
      </c>
      <c r="AC13" s="21">
        <f t="shared" si="13"/>
        <v>0</v>
      </c>
      <c r="AD13" s="21">
        <f t="shared" si="14"/>
        <v>0</v>
      </c>
      <c r="AE13" s="21">
        <f t="shared" si="15"/>
        <v>0</v>
      </c>
      <c r="AF13" s="21">
        <f t="shared" si="16"/>
        <v>0</v>
      </c>
      <c r="AG13" s="21">
        <f t="shared" si="17"/>
        <v>3.154064516129032E-2</v>
      </c>
      <c r="AH13" s="21">
        <v>0</v>
      </c>
      <c r="AI13" s="25">
        <f t="shared" si="3"/>
        <v>0</v>
      </c>
      <c r="AK13" s="53">
        <f t="shared" si="18"/>
        <v>4.4138075136476426E-2</v>
      </c>
    </row>
    <row r="14" spans="1:37" x14ac:dyDescent="0.25">
      <c r="A14" s="9" t="s">
        <v>26</v>
      </c>
      <c r="B14" s="21">
        <v>0.46</v>
      </c>
      <c r="C14" s="21">
        <v>0.16500000000000001</v>
      </c>
      <c r="D14" s="21">
        <v>0.06</v>
      </c>
      <c r="E14" s="21">
        <v>0.77</v>
      </c>
      <c r="F14" s="21">
        <v>0</v>
      </c>
      <c r="G14" s="21">
        <v>0.04</v>
      </c>
      <c r="H14" s="22">
        <f>B14*$J$5/(H$7/1000000)/1000000000</f>
        <v>75.124260355029591</v>
      </c>
      <c r="I14" s="22">
        <f>C14*$J$5/(I$7/1000000)/1000000000</f>
        <v>44.070967741935483</v>
      </c>
      <c r="J14" s="22">
        <f>D14*$J$5/(J$7/1000000)/1000000000</f>
        <v>19.255813953488374</v>
      </c>
      <c r="K14" s="22">
        <f>E14*$J$5/(K$7/1000000)/1000000000</f>
        <v>204.34615384615384</v>
      </c>
      <c r="L14" s="23">
        <v>0.67</v>
      </c>
      <c r="M14" s="23">
        <v>0.54</v>
      </c>
      <c r="N14" s="23">
        <v>0.5</v>
      </c>
      <c r="O14" s="23">
        <v>0.35</v>
      </c>
      <c r="P14" s="23">
        <v>0.6</v>
      </c>
      <c r="Q14" s="23">
        <v>1</v>
      </c>
      <c r="R14" s="44">
        <f t="shared" si="4"/>
        <v>27.179957396449709</v>
      </c>
      <c r="S14" s="44">
        <f t="shared" si="5"/>
        <v>14.763774193548388</v>
      </c>
      <c r="T14" s="44">
        <f t="shared" si="6"/>
        <v>4.5154883720930243</v>
      </c>
      <c r="U14" s="44">
        <f t="shared" si="7"/>
        <v>82.147153846153842</v>
      </c>
      <c r="V14" s="22">
        <f t="shared" si="8"/>
        <v>60.87286435944992</v>
      </c>
      <c r="W14" s="22">
        <f t="shared" si="9"/>
        <v>23.832226610017891</v>
      </c>
      <c r="X14" s="22">
        <f t="shared" si="10"/>
        <v>8.4404898032200357</v>
      </c>
      <c r="Y14" s="22">
        <f t="shared" si="1"/>
        <v>41.073576923076921</v>
      </c>
      <c r="Z14" s="22">
        <f t="shared" si="2"/>
        <v>1.0114693953488376</v>
      </c>
      <c r="AA14" s="22">
        <f t="shared" si="11"/>
        <v>1.7716529032258064</v>
      </c>
      <c r="AB14" s="21">
        <f t="shared" si="12"/>
        <v>9.5573337762421377E-3</v>
      </c>
      <c r="AC14" s="21">
        <f t="shared" si="13"/>
        <v>7.1957205948121657E-3</v>
      </c>
      <c r="AD14" s="21">
        <f t="shared" si="14"/>
        <v>2.0387656529516993E-3</v>
      </c>
      <c r="AE14" s="21">
        <f t="shared" si="15"/>
        <v>1.2401442307692306E-2</v>
      </c>
      <c r="AF14" s="21">
        <f t="shared" si="16"/>
        <v>3.0539534883720942E-4</v>
      </c>
      <c r="AG14" s="21">
        <f t="shared" si="17"/>
        <v>5.9910967741935474E-3</v>
      </c>
      <c r="AH14" s="21">
        <v>0</v>
      </c>
      <c r="AI14" s="25">
        <f t="shared" si="3"/>
        <v>2.1440000000000001E-2</v>
      </c>
      <c r="AK14" s="53">
        <f t="shared" si="18"/>
        <v>5.8929754454729061E-2</v>
      </c>
    </row>
    <row r="15" spans="1:37" x14ac:dyDescent="0.25">
      <c r="A15" s="20" t="s">
        <v>27</v>
      </c>
      <c r="B15" s="21">
        <v>0.17</v>
      </c>
      <c r="C15" s="21">
        <v>0.04</v>
      </c>
      <c r="D15" s="21">
        <v>7.0000000000000007E-2</v>
      </c>
      <c r="E15" s="21">
        <v>0.03</v>
      </c>
      <c r="F15" s="21">
        <v>0</v>
      </c>
      <c r="G15" s="21">
        <v>0</v>
      </c>
      <c r="H15" s="22">
        <f>B15*$J$5/(H$7/1000000)/1000000000</f>
        <v>27.76331360946746</v>
      </c>
      <c r="I15" s="22">
        <f>C15*$J$5/(I$7/1000000)/1000000000</f>
        <v>10.683870967741935</v>
      </c>
      <c r="J15" s="22">
        <f>D15*$J$5/(J$7/1000000)/1000000000</f>
        <v>22.465116279069772</v>
      </c>
      <c r="K15" s="22">
        <f>E15*$J$5/(K$7/1000000)/1000000000</f>
        <v>7.9615384615384617</v>
      </c>
      <c r="L15" s="23">
        <v>0.67</v>
      </c>
      <c r="M15" s="23">
        <v>0.54</v>
      </c>
      <c r="N15" s="23">
        <v>0.5</v>
      </c>
      <c r="O15" s="23">
        <v>0.35</v>
      </c>
      <c r="P15" s="23">
        <v>0.6</v>
      </c>
      <c r="Q15" s="23">
        <v>1</v>
      </c>
      <c r="R15" s="44">
        <f t="shared" si="4"/>
        <v>10.044766863905329</v>
      </c>
      <c r="S15" s="44">
        <f t="shared" si="5"/>
        <v>3.5790967741935487</v>
      </c>
      <c r="T15" s="44">
        <f t="shared" si="6"/>
        <v>5.2680697674418617</v>
      </c>
      <c r="U15" s="44">
        <f t="shared" si="7"/>
        <v>3.2005384615384616</v>
      </c>
      <c r="V15" s="22">
        <f t="shared" si="8"/>
        <v>16.789996092622864</v>
      </c>
      <c r="W15" s="22">
        <f t="shared" si="9"/>
        <v>2.328867262969589</v>
      </c>
      <c r="X15" s="22">
        <f t="shared" si="10"/>
        <v>0.58345733452593929</v>
      </c>
      <c r="Y15" s="22">
        <f t="shared" si="1"/>
        <v>1.6002692307692308</v>
      </c>
      <c r="Z15" s="22">
        <f t="shared" si="2"/>
        <v>1.1800476279069771</v>
      </c>
      <c r="AA15" s="22">
        <f t="shared" si="11"/>
        <v>0.42949161290322585</v>
      </c>
      <c r="AB15" s="21">
        <f t="shared" si="12"/>
        <v>2.6361104976340248E-3</v>
      </c>
      <c r="AC15" s="21">
        <f t="shared" si="13"/>
        <v>7.03160405485987E-4</v>
      </c>
      <c r="AD15" s="21">
        <f t="shared" si="14"/>
        <v>1.4093172331544428E-4</v>
      </c>
      <c r="AE15" s="21">
        <f t="shared" si="15"/>
        <v>4.8317307692307689E-4</v>
      </c>
      <c r="AF15" s="21">
        <f t="shared" si="16"/>
        <v>3.5629457364341093E-4</v>
      </c>
      <c r="AG15" s="21">
        <f t="shared" si="17"/>
        <v>1.4523870967741936E-3</v>
      </c>
      <c r="AH15" s="21">
        <v>0</v>
      </c>
      <c r="AI15" s="25">
        <f t="shared" si="3"/>
        <v>0</v>
      </c>
      <c r="AK15" s="53">
        <f t="shared" si="18"/>
        <v>5.7720573737761374E-3</v>
      </c>
    </row>
    <row r="16" spans="1:37" x14ac:dyDescent="0.25">
      <c r="A16" s="20" t="s">
        <v>28</v>
      </c>
      <c r="B16" s="21">
        <v>0.53</v>
      </c>
      <c r="C16" s="21">
        <v>0.11</v>
      </c>
      <c r="D16" s="21">
        <v>0.09</v>
      </c>
      <c r="E16" s="21">
        <v>0.14000000000000001</v>
      </c>
      <c r="F16" s="21">
        <v>0</v>
      </c>
      <c r="G16" s="21">
        <v>0.03</v>
      </c>
      <c r="H16" s="22">
        <f>B16*$J$5/(H$7/1000000)/1000000000</f>
        <v>86.556213017751475</v>
      </c>
      <c r="I16" s="22">
        <f>C16*$J$5/(I$7/1000000)/1000000000</f>
        <v>29.380645161290321</v>
      </c>
      <c r="J16" s="22">
        <f>D16*$J$5/(J$7/1000000)/1000000000</f>
        <v>28.88372093023256</v>
      </c>
      <c r="K16" s="22">
        <f>E16*$J$5/(K$7/1000000)/1000000000</f>
        <v>37.15384615384616</v>
      </c>
      <c r="L16" s="23">
        <v>0.67</v>
      </c>
      <c r="M16" s="23">
        <v>0.54</v>
      </c>
      <c r="N16" s="23">
        <v>0.5</v>
      </c>
      <c r="O16" s="23">
        <v>0.35</v>
      </c>
      <c r="P16" s="23">
        <v>0.6</v>
      </c>
      <c r="Q16" s="23">
        <v>1</v>
      </c>
      <c r="R16" s="44">
        <f t="shared" si="4"/>
        <v>31.316037869822487</v>
      </c>
      <c r="S16" s="44">
        <f t="shared" si="5"/>
        <v>9.8425161290322585</v>
      </c>
      <c r="T16" s="44">
        <f t="shared" si="6"/>
        <v>6.7732325581395347</v>
      </c>
      <c r="U16" s="44">
        <f t="shared" si="7"/>
        <v>14.935846153846157</v>
      </c>
      <c r="V16" s="22">
        <f t="shared" si="8"/>
        <v>49.672622067806302</v>
      </c>
      <c r="W16" s="22">
        <f t="shared" si="9"/>
        <v>5.9699966457960656</v>
      </c>
      <c r="X16" s="22">
        <f t="shared" si="10"/>
        <v>1.8322462432915925</v>
      </c>
      <c r="Y16" s="22">
        <f t="shared" si="1"/>
        <v>7.4679230769230784</v>
      </c>
      <c r="Z16" s="22">
        <f t="shared" si="2"/>
        <v>1.517204093023256</v>
      </c>
      <c r="AA16" s="22">
        <f t="shared" si="11"/>
        <v>1.181101935483871</v>
      </c>
      <c r="AB16" s="21">
        <f t="shared" si="12"/>
        <v>7.7988416290034057E-3</v>
      </c>
      <c r="AC16" s="21">
        <f t="shared" si="13"/>
        <v>1.8025352191413241E-3</v>
      </c>
      <c r="AD16" s="21">
        <f t="shared" si="14"/>
        <v>4.4257155635062616E-4</v>
      </c>
      <c r="AE16" s="21">
        <f t="shared" si="15"/>
        <v>2.2548076923076927E-3</v>
      </c>
      <c r="AF16" s="21">
        <f t="shared" si="16"/>
        <v>4.5809302325581407E-4</v>
      </c>
      <c r="AG16" s="21">
        <f t="shared" si="17"/>
        <v>3.9940645161290322E-3</v>
      </c>
      <c r="AH16" s="21">
        <v>0</v>
      </c>
      <c r="AI16" s="25">
        <f t="shared" si="3"/>
        <v>1.6080000000000001E-2</v>
      </c>
      <c r="AK16" s="53">
        <f t="shared" si="18"/>
        <v>3.2830913636187897E-2</v>
      </c>
    </row>
    <row r="17" spans="1:37" x14ac:dyDescent="0.25">
      <c r="A17" s="20" t="s">
        <v>29</v>
      </c>
      <c r="B17" s="21">
        <v>0.13</v>
      </c>
      <c r="C17" s="21">
        <v>0.06</v>
      </c>
      <c r="D17" s="21">
        <v>2.4E-2</v>
      </c>
      <c r="E17" s="21">
        <v>0.37</v>
      </c>
      <c r="F17" s="21">
        <v>0</v>
      </c>
      <c r="G17" s="21">
        <v>0.02</v>
      </c>
      <c r="H17" s="22">
        <f>B17*$J$5/(H$7/1000000)/1000000000</f>
        <v>21.230769230769234</v>
      </c>
      <c r="I17" s="22">
        <f>C17*$J$5/(I$7/1000000)/1000000000</f>
        <v>16.025806451612905</v>
      </c>
      <c r="J17" s="22">
        <f>D17*$J$5/(J$7/1000000)/1000000000</f>
        <v>7.7023255813953497</v>
      </c>
      <c r="K17" s="22">
        <f>E17*$J$5/(K$7/1000000)/1000000000</f>
        <v>98.192307692307693</v>
      </c>
      <c r="L17" s="23">
        <v>0.5</v>
      </c>
      <c r="M17" s="23">
        <v>0.54</v>
      </c>
      <c r="N17" s="23">
        <v>0.5</v>
      </c>
      <c r="O17" s="23">
        <v>0.35</v>
      </c>
      <c r="P17" s="23">
        <v>0.6</v>
      </c>
      <c r="Q17" s="23">
        <v>1</v>
      </c>
      <c r="R17" s="44">
        <f t="shared" si="4"/>
        <v>5.7323076923076934</v>
      </c>
      <c r="S17" s="44">
        <f t="shared" si="5"/>
        <v>4.0064516129032262</v>
      </c>
      <c r="T17" s="44">
        <f t="shared" si="6"/>
        <v>1.347906976744186</v>
      </c>
      <c r="U17" s="44">
        <f t="shared" si="7"/>
        <v>29.457692307692305</v>
      </c>
      <c r="V17" s="22">
        <f t="shared" si="8"/>
        <v>15.898691202608346</v>
      </c>
      <c r="W17" s="22">
        <f t="shared" si="9"/>
        <v>8.4715398032200344</v>
      </c>
      <c r="X17" s="22">
        <f t="shared" si="10"/>
        <v>3.0131645796064399</v>
      </c>
      <c r="Y17" s="22">
        <f t="shared" si="1"/>
        <v>14.728846153846153</v>
      </c>
      <c r="Z17" s="22">
        <f t="shared" si="2"/>
        <v>0.30193116279069776</v>
      </c>
      <c r="AA17" s="22">
        <f t="shared" si="11"/>
        <v>0.48077419354838713</v>
      </c>
      <c r="AB17" s="21">
        <f t="shared" si="12"/>
        <v>2.4961713240810204E-3</v>
      </c>
      <c r="AC17" s="21">
        <f t="shared" si="13"/>
        <v>2.5578320661896236E-3</v>
      </c>
      <c r="AD17" s="21">
        <f t="shared" si="14"/>
        <v>7.2781753130590331E-4</v>
      </c>
      <c r="AE17" s="21">
        <f t="shared" si="15"/>
        <v>4.4471153846153836E-3</v>
      </c>
      <c r="AF17" s="21">
        <f t="shared" si="16"/>
        <v>9.1162790697674442E-5</v>
      </c>
      <c r="AG17" s="21">
        <f t="shared" si="17"/>
        <v>1.6258064516129031E-3</v>
      </c>
      <c r="AH17" s="21">
        <v>0</v>
      </c>
      <c r="AI17" s="25">
        <f t="shared" si="3"/>
        <v>8.0000000000000002E-3</v>
      </c>
      <c r="AK17" s="53">
        <f t="shared" si="18"/>
        <v>1.9945905548502507E-2</v>
      </c>
    </row>
    <row r="18" spans="1:37" x14ac:dyDescent="0.25">
      <c r="A18" s="9" t="s">
        <v>30</v>
      </c>
      <c r="B18" s="21">
        <v>1.2E-2</v>
      </c>
      <c r="C18" s="21">
        <v>0.21</v>
      </c>
      <c r="D18" s="21">
        <v>6.0000000000000001E-3</v>
      </c>
      <c r="E18" s="21">
        <v>1.7999999999999999E-2</v>
      </c>
      <c r="F18" s="21">
        <v>0</v>
      </c>
      <c r="G18" s="21">
        <v>0.35</v>
      </c>
      <c r="H18" s="22">
        <f>B18*$J$5/(H$7/1000000)/1000000000</f>
        <v>1.9597633136094674</v>
      </c>
      <c r="I18" s="22">
        <f>C18*$J$5/(I$7/1000000)/1000000000</f>
        <v>56.090322580645164</v>
      </c>
      <c r="J18" s="22">
        <f>D18*$J$5/(J$7/1000000)/1000000000</f>
        <v>1.9255813953488374</v>
      </c>
      <c r="K18" s="22">
        <f>E18*$J$5/(K$7/1000000)/1000000000</f>
        <v>4.7769230769230768</v>
      </c>
      <c r="L18" s="23">
        <v>0.5</v>
      </c>
      <c r="M18" s="23">
        <v>0.54</v>
      </c>
      <c r="N18" s="24">
        <v>0.8</v>
      </c>
      <c r="O18" s="23">
        <v>0.35</v>
      </c>
      <c r="P18" s="23">
        <v>0.6</v>
      </c>
      <c r="Q18" s="23">
        <v>1</v>
      </c>
      <c r="R18" s="44">
        <f t="shared" si="4"/>
        <v>0.52913609467455625</v>
      </c>
      <c r="S18" s="44">
        <f t="shared" si="5"/>
        <v>22.436129032258066</v>
      </c>
      <c r="T18" s="44">
        <f t="shared" si="6"/>
        <v>0.33697674418604651</v>
      </c>
      <c r="U18" s="44">
        <f t="shared" si="7"/>
        <v>1.4330769230769229</v>
      </c>
      <c r="V18" s="22">
        <f>($R18*V$2+0+$T18*V$4+$U18*V$5)*1.14</f>
        <v>0.9251019994495665</v>
      </c>
      <c r="W18" s="22">
        <f t="shared" si="9"/>
        <v>0.48676475849731665</v>
      </c>
      <c r="X18" s="22">
        <f t="shared" si="10"/>
        <v>0.16015652951699463</v>
      </c>
      <c r="Y18" s="22">
        <f t="shared" si="1"/>
        <v>0.71653846153846146</v>
      </c>
      <c r="Z18" s="22">
        <f t="shared" si="2"/>
        <v>7.548279069767444E-2</v>
      </c>
      <c r="AA18" s="22">
        <f>$R18*AA$2+$S18*1+$T18*AA$4+$U18*AA$5</f>
        <v>22.436129032258066</v>
      </c>
      <c r="AB18" s="21">
        <f t="shared" si="12"/>
        <v>1.4524548300536672E-4</v>
      </c>
      <c r="AC18" s="21">
        <f t="shared" si="13"/>
        <v>1.4697003577817533E-4</v>
      </c>
      <c r="AD18" s="21">
        <f t="shared" si="14"/>
        <v>3.8685152057245084E-5</v>
      </c>
      <c r="AE18" s="21">
        <f t="shared" si="15"/>
        <v>2.1634615384615377E-4</v>
      </c>
      <c r="AF18" s="21">
        <f t="shared" si="16"/>
        <v>2.279069767441861E-5</v>
      </c>
      <c r="AG18" s="21">
        <f t="shared" si="17"/>
        <v>7.5870967741935483E-2</v>
      </c>
      <c r="AH18" s="21">
        <v>0</v>
      </c>
      <c r="AI18" s="25">
        <f>G18*$L18*N$18</f>
        <v>0.13999999999999999</v>
      </c>
      <c r="AK18" s="53">
        <f t="shared" si="18"/>
        <v>0.21644100526429683</v>
      </c>
    </row>
    <row r="19" spans="1:37" x14ac:dyDescent="0.25">
      <c r="A19" s="26" t="s">
        <v>31</v>
      </c>
      <c r="B19" s="21">
        <v>0.6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>
        <f>B19*$J$5/(H$7/1000000)/1000000000</f>
        <v>97.988165680473372</v>
      </c>
      <c r="I19" s="22">
        <f>C19*$J$5/(I$7/1000000)/1000000000</f>
        <v>0</v>
      </c>
      <c r="J19" s="22">
        <f>D19*$J$5/(J$7/1000000)/1000000000</f>
        <v>0</v>
      </c>
      <c r="K19" s="22">
        <f>E19*$J$5/(K$7/1000000)/1000000000</f>
        <v>0</v>
      </c>
      <c r="L19" s="23">
        <v>0.7</v>
      </c>
      <c r="M19" s="23">
        <v>0.5</v>
      </c>
      <c r="N19" s="23">
        <v>0.5</v>
      </c>
      <c r="O19" s="23">
        <v>0.35</v>
      </c>
      <c r="P19" s="23">
        <v>0.6</v>
      </c>
      <c r="Q19" s="23">
        <v>1</v>
      </c>
      <c r="R19" s="44">
        <f t="shared" si="4"/>
        <v>34.295857988165679</v>
      </c>
      <c r="S19" s="44">
        <f t="shared" si="5"/>
        <v>0</v>
      </c>
      <c r="T19" s="44">
        <f t="shared" si="6"/>
        <v>0</v>
      </c>
      <c r="U19" s="44">
        <f t="shared" si="7"/>
        <v>0</v>
      </c>
      <c r="V19" s="22">
        <f t="shared" ref="V19:V20" si="19">($R19*V$2+$S19*V$3+$T19*V$4+$U19*V$5)*1.14</f>
        <v>39.097278106508874</v>
      </c>
      <c r="W19" s="22">
        <f t="shared" si="9"/>
        <v>0</v>
      </c>
      <c r="X19" s="22">
        <f t="shared" si="10"/>
        <v>0</v>
      </c>
      <c r="Y19" s="22">
        <f t="shared" si="1"/>
        <v>0</v>
      </c>
      <c r="Z19" s="22">
        <f t="shared" si="2"/>
        <v>0</v>
      </c>
      <c r="AA19" s="22">
        <f t="shared" si="11"/>
        <v>0</v>
      </c>
      <c r="AB19" s="21">
        <f t="shared" si="12"/>
        <v>6.1384615384615379E-3</v>
      </c>
      <c r="AC19" s="21">
        <f t="shared" si="13"/>
        <v>0</v>
      </c>
      <c r="AD19" s="21">
        <f t="shared" si="14"/>
        <v>0</v>
      </c>
      <c r="AE19" s="21">
        <f t="shared" si="15"/>
        <v>0</v>
      </c>
      <c r="AF19" s="21">
        <f t="shared" si="16"/>
        <v>0</v>
      </c>
      <c r="AG19" s="21">
        <f t="shared" si="17"/>
        <v>0</v>
      </c>
      <c r="AH19" s="21">
        <v>0</v>
      </c>
      <c r="AI19" s="25">
        <f t="shared" ref="AI19:AI20" si="20">G19*$L19*N$18</f>
        <v>0</v>
      </c>
      <c r="AK19" s="53">
        <f t="shared" si="18"/>
        <v>6.1384615384615379E-3</v>
      </c>
    </row>
    <row r="20" spans="1:37" x14ac:dyDescent="0.25">
      <c r="A20" s="20" t="s">
        <v>32</v>
      </c>
      <c r="B20" s="21">
        <v>0.06</v>
      </c>
      <c r="C20" s="21">
        <v>3.2000000000000001E-2</v>
      </c>
      <c r="D20" s="21">
        <v>1.6E-2</v>
      </c>
      <c r="E20" s="21">
        <v>0</v>
      </c>
      <c r="F20" s="21">
        <v>0.28799999999999998</v>
      </c>
      <c r="G20" s="21">
        <v>0.01</v>
      </c>
      <c r="H20" s="22">
        <f>B20*$J$5/(H$7/1000000)/1000000000</f>
        <v>9.7988165680473394</v>
      </c>
      <c r="I20" s="22">
        <f>C20*$J$5/(I$7/1000000)/1000000000</f>
        <v>8.5470967741935482</v>
      </c>
      <c r="J20" s="22">
        <f>D20*$J$5/(J$7/1000000)/1000000000</f>
        <v>5.1348837209302332</v>
      </c>
      <c r="K20" s="22">
        <f>E20*$J$5/(K$7/1000000)/1000000000</f>
        <v>0</v>
      </c>
      <c r="L20" s="23">
        <v>0.62</v>
      </c>
      <c r="M20" s="23">
        <v>0.54</v>
      </c>
      <c r="N20" s="23">
        <v>0.5</v>
      </c>
      <c r="O20" s="23">
        <v>0.35</v>
      </c>
      <c r="P20" s="23">
        <v>0.6</v>
      </c>
      <c r="Q20" s="23">
        <v>1</v>
      </c>
      <c r="R20" s="44">
        <f t="shared" si="4"/>
        <v>3.2806437869822491</v>
      </c>
      <c r="S20" s="44">
        <f t="shared" si="5"/>
        <v>2.6496</v>
      </c>
      <c r="T20" s="44">
        <f t="shared" si="6"/>
        <v>1.1142697674418605</v>
      </c>
      <c r="U20" s="44">
        <f t="shared" si="7"/>
        <v>0</v>
      </c>
      <c r="V20" s="22">
        <f t="shared" si="19"/>
        <v>6.6520661441365077</v>
      </c>
      <c r="W20" s="22">
        <f t="shared" si="9"/>
        <v>0.30642418604651167</v>
      </c>
      <c r="X20" s="22">
        <f t="shared" si="10"/>
        <v>5.5713488372093029E-2</v>
      </c>
      <c r="Y20" s="22">
        <f t="shared" si="1"/>
        <v>0</v>
      </c>
      <c r="Z20" s="22">
        <f t="shared" si="2"/>
        <v>0.24959642790697678</v>
      </c>
      <c r="AA20" s="22">
        <f t="shared" si="11"/>
        <v>0.31795199999999996</v>
      </c>
      <c r="AB20" s="21">
        <f t="shared" si="12"/>
        <v>1.0444065202146692E-3</v>
      </c>
      <c r="AC20" s="21">
        <f t="shared" si="13"/>
        <v>9.251937984496127E-5</v>
      </c>
      <c r="AD20" s="21">
        <f t="shared" si="14"/>
        <v>1.3457364341085273E-5</v>
      </c>
      <c r="AE20" s="21">
        <f t="shared" si="15"/>
        <v>0</v>
      </c>
      <c r="AF20" s="21">
        <f t="shared" si="16"/>
        <v>7.5361240310077527E-5</v>
      </c>
      <c r="AG20" s="21">
        <f t="shared" si="17"/>
        <v>1.0751999999999999E-3</v>
      </c>
      <c r="AH20" s="25">
        <f>F20*$L20-0.052</f>
        <v>0.12656000000000001</v>
      </c>
      <c r="AI20" s="25">
        <f t="shared" si="20"/>
        <v>4.96E-3</v>
      </c>
      <c r="AK20" s="53">
        <f t="shared" si="18"/>
        <v>0.1338209445047108</v>
      </c>
    </row>
    <row r="21" spans="1:37" x14ac:dyDescent="0.25">
      <c r="A21" s="27" t="s">
        <v>33</v>
      </c>
      <c r="B21" s="21">
        <f>SUM(B10:B20)</f>
        <v>3.1480000000000001</v>
      </c>
      <c r="C21" s="21">
        <f t="shared" ref="C21:G21" si="21">SUM(C10:C20)</f>
        <v>2.7560000000000002</v>
      </c>
      <c r="D21" s="21">
        <f t="shared" si="21"/>
        <v>2.4079999999999999</v>
      </c>
      <c r="E21" s="21">
        <f t="shared" si="21"/>
        <v>1.792</v>
      </c>
      <c r="F21" s="21">
        <f t="shared" si="21"/>
        <v>1.35</v>
      </c>
      <c r="G21" s="21">
        <f t="shared" si="21"/>
        <v>0.56399999999999995</v>
      </c>
      <c r="H21" s="22">
        <f>B21*$J$5/(H$7/1000000)/1000000000</f>
        <v>514.11124260355041</v>
      </c>
      <c r="I21" s="22">
        <f>C21*$J$5/(I$7/1000000)/1000000000</f>
        <v>736.11870967741947</v>
      </c>
      <c r="J21" s="22">
        <f>D21*$J$5/(J$7/1000000)/1000000000</f>
        <v>772.8</v>
      </c>
      <c r="K21" s="22">
        <f>E21*$J$5/(K$7/1000000)/1000000000</f>
        <v>475.56923076923078</v>
      </c>
      <c r="R21" s="21">
        <f t="shared" ref="R21:U21" si="22">SUM(R10:R20)</f>
        <v>200.56329457988164</v>
      </c>
      <c r="S21" s="21">
        <f t="shared" si="22"/>
        <v>216.14352387096773</v>
      </c>
      <c r="T21" s="21">
        <f t="shared" si="22"/>
        <v>247.18457302325584</v>
      </c>
      <c r="U21" s="21">
        <f t="shared" si="22"/>
        <v>192.1717938461538</v>
      </c>
      <c r="V21" s="22">
        <f>SUM(V10:V20)</f>
        <v>512.18887372025335</v>
      </c>
      <c r="W21" s="22">
        <f>SUM(W10:W20)</f>
        <v>120.82300088908768</v>
      </c>
      <c r="X21" s="22">
        <f>U21*X5+T21*X4</f>
        <v>31.576408035778172</v>
      </c>
      <c r="Y21" s="22">
        <f>SUM(Y10:Y20)</f>
        <v>96.085896923076902</v>
      </c>
      <c r="Z21" s="22">
        <f>SUM(Z10:Z20)</f>
        <v>55.369344357209322</v>
      </c>
      <c r="AA21" s="22">
        <f>SUM(AA10:AA20)</f>
        <v>45.681016412903226</v>
      </c>
      <c r="AB21" s="21">
        <f>V21/$J$5*1000000000*AB7/1000000</f>
        <v>8.0416127516464889E-2</v>
      </c>
      <c r="AC21" s="21">
        <f>W21/$J$5*1000000000*AC7/1000000</f>
        <v>3.648037466457961E-2</v>
      </c>
      <c r="AD21" s="21">
        <f>X21/$J$5*1000000000*AD7/1000000</f>
        <v>7.6271516994633254E-3</v>
      </c>
      <c r="AE21" s="21">
        <f>Y21/$J$5*1000000000*AE7/1000000</f>
        <v>2.9011442307692301E-2</v>
      </c>
      <c r="AF21" s="21">
        <f>Z21/$J$5*1000000000*AF7/1000000</f>
        <v>1.6717797209302335E-2</v>
      </c>
      <c r="AG21" s="21">
        <f>AA21/$J$5*1000000000*AG7/1000000</f>
        <v>0.15447686709677419</v>
      </c>
      <c r="AH21" s="21">
        <f t="shared" ref="AH21:AI21" si="23">SUM(AH10:AH20)</f>
        <v>0.41380800000000018</v>
      </c>
      <c r="AI21" s="21">
        <f t="shared" si="23"/>
        <v>0.26267200000000002</v>
      </c>
      <c r="AK21" s="53">
        <f t="shared" si="18"/>
        <v>1.0012097604942767</v>
      </c>
    </row>
    <row r="22" spans="1:37" ht="15.75" thickBot="1" x14ac:dyDescent="0.3">
      <c r="AB22" s="28">
        <f>SUM(AB21:AI21)</f>
        <v>1.0012097604942767</v>
      </c>
      <c r="AC22" s="29"/>
      <c r="AD22" s="29"/>
      <c r="AE22" s="29"/>
      <c r="AF22" s="29"/>
      <c r="AG22" s="29"/>
      <c r="AH22" s="29"/>
      <c r="AI22" s="30"/>
    </row>
    <row r="23" spans="1:37" x14ac:dyDescent="0.25">
      <c r="W23" t="s">
        <v>56</v>
      </c>
      <c r="AB23" s="54"/>
      <c r="AC23" s="54"/>
      <c r="AD23" s="54"/>
      <c r="AE23" s="54"/>
      <c r="AF23" s="54"/>
      <c r="AG23" s="54"/>
      <c r="AH23" s="54"/>
      <c r="AI23" s="54"/>
    </row>
    <row r="24" spans="1:37" x14ac:dyDescent="0.25">
      <c r="V24" s="36">
        <f>Y21+W24</f>
        <v>160.07910427384613</v>
      </c>
      <c r="W24" s="36">
        <f>Y21*0.666</f>
        <v>63.993207350769218</v>
      </c>
      <c r="AB24" s="31"/>
      <c r="AC24" s="32"/>
      <c r="AD24" s="32"/>
      <c r="AE24" s="32"/>
      <c r="AF24" s="32"/>
      <c r="AG24" s="32"/>
      <c r="AH24" s="32"/>
      <c r="AI24" s="32"/>
    </row>
    <row r="25" spans="1:37" x14ac:dyDescent="0.25">
      <c r="V25" s="36"/>
      <c r="W25" s="36"/>
      <c r="AB25" s="31"/>
      <c r="AC25" s="32"/>
      <c r="AD25" s="32"/>
      <c r="AE25" s="32"/>
      <c r="AF25" s="32"/>
      <c r="AG25" s="32"/>
      <c r="AH25" s="32"/>
      <c r="AI25" s="32"/>
    </row>
    <row r="26" spans="1:37" x14ac:dyDescent="0.25">
      <c r="U26" s="1" t="s">
        <v>57</v>
      </c>
      <c r="V26" s="55">
        <f>V21+V24</f>
        <v>672.26797799409951</v>
      </c>
      <c r="W26" s="36"/>
      <c r="AE26" s="32"/>
      <c r="AF26" s="32"/>
      <c r="AG26" s="32"/>
      <c r="AH26" s="32"/>
      <c r="AI26" s="32"/>
    </row>
    <row r="27" spans="1:37" x14ac:dyDescent="0.25">
      <c r="U27" s="1" t="s">
        <v>34</v>
      </c>
      <c r="V27" s="55"/>
      <c r="AB27" s="58" t="s">
        <v>61</v>
      </c>
      <c r="AC27" s="32"/>
      <c r="AD27" s="32"/>
      <c r="AE27" s="32"/>
      <c r="AF27" s="32"/>
      <c r="AG27" s="32"/>
      <c r="AH27" s="32"/>
      <c r="AI27" s="32"/>
    </row>
    <row r="28" spans="1:37" x14ac:dyDescent="0.25">
      <c r="U28" s="56" t="s">
        <v>35</v>
      </c>
      <c r="V28" s="34">
        <v>22</v>
      </c>
      <c r="W28" s="35"/>
      <c r="AB28" s="59" t="s">
        <v>60</v>
      </c>
      <c r="AC28" s="59"/>
      <c r="AD28" s="59"/>
      <c r="AE28" s="59" t="s">
        <v>62</v>
      </c>
      <c r="AF28" s="59"/>
      <c r="AG28" s="59"/>
    </row>
    <row r="29" spans="1:37" x14ac:dyDescent="0.25">
      <c r="Q29" s="34"/>
      <c r="R29" s="34"/>
      <c r="S29" s="34"/>
      <c r="T29" s="34"/>
      <c r="U29" s="56" t="s">
        <v>38</v>
      </c>
      <c r="V29" s="34">
        <v>120</v>
      </c>
      <c r="W29" s="34"/>
      <c r="AB29" s="40">
        <v>1000</v>
      </c>
      <c r="AC29" s="40"/>
      <c r="AD29" s="40"/>
      <c r="AE29" s="40">
        <f>V29/AB29*1000</f>
        <v>120</v>
      </c>
      <c r="AF29" s="40"/>
      <c r="AG29" s="40"/>
    </row>
    <row r="30" spans="1:37" x14ac:dyDescent="0.25">
      <c r="Q30" s="34"/>
      <c r="R30" s="34"/>
      <c r="S30" s="34"/>
      <c r="T30" s="34"/>
      <c r="U30" s="56" t="s">
        <v>37</v>
      </c>
      <c r="V30" s="34">
        <v>128</v>
      </c>
      <c r="W30" s="34"/>
      <c r="AB30" s="40">
        <v>1700</v>
      </c>
      <c r="AC30" s="40"/>
      <c r="AD30" s="40"/>
      <c r="AE30" s="60">
        <f>V30/AB30*1000</f>
        <v>75.294117647058812</v>
      </c>
      <c r="AF30" s="60"/>
      <c r="AG30" s="60"/>
    </row>
    <row r="31" spans="1:37" x14ac:dyDescent="0.25">
      <c r="Q31" s="34"/>
      <c r="R31" s="34"/>
      <c r="S31" s="34"/>
      <c r="T31" s="34"/>
      <c r="U31" s="56" t="s">
        <v>36</v>
      </c>
      <c r="V31" s="34">
        <v>310</v>
      </c>
      <c r="W31" s="34"/>
      <c r="AB31" s="40">
        <v>1400</v>
      </c>
      <c r="AC31" s="40"/>
      <c r="AD31" s="40"/>
      <c r="AE31" s="60">
        <f>V31/AB31*1000</f>
        <v>221.42857142857142</v>
      </c>
      <c r="AF31" s="60"/>
      <c r="AG31" s="60"/>
    </row>
    <row r="32" spans="1:37" x14ac:dyDescent="0.25">
      <c r="Q32" s="34"/>
      <c r="R32" s="34"/>
      <c r="S32" s="34"/>
      <c r="T32" s="34"/>
      <c r="U32" s="56" t="s">
        <v>58</v>
      </c>
      <c r="V32" s="34">
        <v>82</v>
      </c>
      <c r="W32" s="34"/>
    </row>
    <row r="33" spans="2:23" x14ac:dyDescent="0.25">
      <c r="Q33" s="34"/>
      <c r="R33" s="34"/>
      <c r="S33" s="34"/>
      <c r="T33" s="34"/>
      <c r="U33" s="57" t="s">
        <v>59</v>
      </c>
      <c r="V33" s="37">
        <v>10</v>
      </c>
      <c r="W33" s="34"/>
    </row>
    <row r="34" spans="2:23" x14ac:dyDescent="0.25">
      <c r="Q34" s="34"/>
      <c r="R34" s="34"/>
      <c r="S34" s="34"/>
      <c r="T34" s="34"/>
      <c r="U34" s="34"/>
      <c r="W34" s="34"/>
    </row>
    <row r="35" spans="2:23" x14ac:dyDescent="0.25">
      <c r="W35" s="37"/>
    </row>
    <row r="48" spans="2:23" x14ac:dyDescent="0.25">
      <c r="B48" s="33"/>
      <c r="C48" s="33"/>
      <c r="D48" s="33"/>
      <c r="E48" s="33"/>
      <c r="G48" s="33"/>
      <c r="H48" s="33"/>
    </row>
    <row r="49" spans="2:8" x14ac:dyDescent="0.25">
      <c r="B49" s="33"/>
      <c r="C49" s="33"/>
      <c r="D49" s="33"/>
      <c r="E49" s="33"/>
      <c r="F49" s="33"/>
      <c r="G49" s="33"/>
      <c r="H49" s="33"/>
    </row>
  </sheetData>
  <mergeCells count="23">
    <mergeCell ref="AB29:AD29"/>
    <mergeCell ref="AB30:AD30"/>
    <mergeCell ref="AB31:AD31"/>
    <mergeCell ref="AE29:AG29"/>
    <mergeCell ref="AE30:AG30"/>
    <mergeCell ref="AE31:AG31"/>
    <mergeCell ref="AB28:AD28"/>
    <mergeCell ref="AE28:AG28"/>
    <mergeCell ref="AB22:AI22"/>
    <mergeCell ref="H6:K6"/>
    <mergeCell ref="L9:Q9"/>
    <mergeCell ref="L6:Q6"/>
    <mergeCell ref="V1:AA1"/>
    <mergeCell ref="V6:AA6"/>
    <mergeCell ref="AB6:AG6"/>
    <mergeCell ref="B9:G9"/>
    <mergeCell ref="H9:K9"/>
    <mergeCell ref="R9:U9"/>
    <mergeCell ref="V9:AA9"/>
    <mergeCell ref="AB9:AI9"/>
    <mergeCell ref="B6:G6"/>
    <mergeCell ref="J5:K5"/>
    <mergeCell ref="R6:U6"/>
  </mergeCells>
  <conditionalFormatting sqref="AB21:AI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ignoredErrors>
    <ignoredError sqref="AA18" 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9"/>
  <sheetViews>
    <sheetView zoomScale="85" zoomScaleNormal="85" workbookViewId="0">
      <selection activeCell="N8" sqref="N8"/>
    </sheetView>
  </sheetViews>
  <sheetFormatPr baseColWidth="10" defaultRowHeight="15" x14ac:dyDescent="0.25"/>
  <cols>
    <col min="1" max="1" width="35.140625" bestFit="1" customWidth="1"/>
    <col min="2" max="7" width="6.85546875" customWidth="1"/>
    <col min="8" max="11" width="9.28515625" customWidth="1"/>
    <col min="12" max="17" width="6.42578125" customWidth="1"/>
    <col min="18" max="21" width="8.28515625" customWidth="1"/>
    <col min="22" max="22" width="12.7109375" customWidth="1"/>
    <col min="23" max="23" width="10.28515625" customWidth="1"/>
    <col min="24" max="24" width="7.5703125" customWidth="1"/>
    <col min="25" max="25" width="10.28515625" customWidth="1"/>
    <col min="26" max="26" width="9.42578125" customWidth="1"/>
    <col min="27" max="27" width="7.5703125" customWidth="1"/>
    <col min="28" max="35" width="5.5703125" customWidth="1"/>
    <col min="36" max="36" width="7" customWidth="1"/>
    <col min="37" max="37" width="7.140625" bestFit="1" customWidth="1"/>
  </cols>
  <sheetData>
    <row r="1" spans="1:37" x14ac:dyDescent="0.25">
      <c r="V1" s="45" t="s">
        <v>50</v>
      </c>
      <c r="W1" s="46"/>
      <c r="X1" s="46"/>
      <c r="Y1" s="46"/>
      <c r="Z1" s="46"/>
      <c r="AA1" s="47"/>
    </row>
    <row r="2" spans="1:37" x14ac:dyDescent="0.25">
      <c r="U2" s="1" t="s">
        <v>45</v>
      </c>
      <c r="V2" s="48">
        <v>1</v>
      </c>
      <c r="W2" s="49"/>
      <c r="X2" s="49"/>
      <c r="Y2" s="49"/>
      <c r="Z2" s="49"/>
      <c r="AA2" s="49"/>
    </row>
    <row r="3" spans="1:37" x14ac:dyDescent="0.25">
      <c r="N3" s="3"/>
      <c r="U3" s="1" t="s">
        <v>46</v>
      </c>
      <c r="V3" s="48">
        <v>0.88</v>
      </c>
      <c r="W3" s="49"/>
      <c r="X3" s="49"/>
      <c r="Y3" s="49"/>
      <c r="Z3" s="49"/>
      <c r="AA3" s="48">
        <v>0.12</v>
      </c>
      <c r="AB3" t="s">
        <v>49</v>
      </c>
    </row>
    <row r="4" spans="1:37" x14ac:dyDescent="0.25">
      <c r="U4" s="1" t="s">
        <v>47</v>
      </c>
      <c r="V4" s="48">
        <v>0.2</v>
      </c>
      <c r="W4" s="48">
        <v>0.25</v>
      </c>
      <c r="X4" s="48">
        <v>0.05</v>
      </c>
      <c r="Y4" s="49"/>
      <c r="Z4" s="48">
        <v>0.2</v>
      </c>
      <c r="AA4" s="49"/>
      <c r="AB4" s="2"/>
    </row>
    <row r="5" spans="1:37" x14ac:dyDescent="0.25">
      <c r="I5" s="1" t="s">
        <v>0</v>
      </c>
      <c r="J5" s="5">
        <v>82800000</v>
      </c>
      <c r="K5" s="5"/>
      <c r="U5" s="1" t="s">
        <v>48</v>
      </c>
      <c r="V5" s="48">
        <v>0.15</v>
      </c>
      <c r="W5" s="48">
        <v>0.25</v>
      </c>
      <c r="X5" s="48">
        <v>0.1</v>
      </c>
      <c r="Y5" s="48">
        <v>0.5</v>
      </c>
      <c r="Z5" s="48"/>
      <c r="AA5" s="49"/>
    </row>
    <row r="6" spans="1:37" ht="48" customHeight="1" x14ac:dyDescent="0.25">
      <c r="B6" s="4" t="s">
        <v>39</v>
      </c>
      <c r="C6" s="4"/>
      <c r="D6" s="4"/>
      <c r="E6" s="4"/>
      <c r="F6" s="4"/>
      <c r="G6" s="4"/>
      <c r="H6" s="6" t="s">
        <v>40</v>
      </c>
      <c r="I6" s="7"/>
      <c r="J6" s="7"/>
      <c r="K6" s="8"/>
      <c r="L6" s="16" t="s">
        <v>1</v>
      </c>
      <c r="M6" s="17"/>
      <c r="N6" s="17"/>
      <c r="O6" s="17"/>
      <c r="P6" s="17"/>
      <c r="Q6" s="18"/>
      <c r="R6" s="5" t="s">
        <v>2</v>
      </c>
      <c r="S6" s="5"/>
      <c r="T6" s="5"/>
      <c r="U6" s="5"/>
      <c r="V6" s="4" t="s">
        <v>3</v>
      </c>
      <c r="W6" s="4"/>
      <c r="X6" s="4"/>
      <c r="Y6" s="4"/>
      <c r="Z6" s="4"/>
      <c r="AA6" s="4"/>
      <c r="AB6" s="6" t="s">
        <v>54</v>
      </c>
      <c r="AC6" s="7"/>
      <c r="AD6" s="7"/>
      <c r="AE6" s="7"/>
      <c r="AF6" s="7"/>
      <c r="AG6" s="8"/>
    </row>
    <row r="7" spans="1:37" ht="27.75" customHeight="1" x14ac:dyDescent="0.25">
      <c r="B7" s="41"/>
      <c r="C7" s="41"/>
      <c r="D7" s="41"/>
      <c r="E7" s="41"/>
      <c r="F7" s="41"/>
      <c r="G7" s="41"/>
      <c r="H7" s="43">
        <v>507</v>
      </c>
      <c r="I7" s="43">
        <v>310</v>
      </c>
      <c r="J7" s="43">
        <v>258</v>
      </c>
      <c r="K7" s="43">
        <v>312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1"/>
      <c r="AA7" s="41"/>
      <c r="AB7" s="43">
        <v>13</v>
      </c>
      <c r="AC7" s="43">
        <v>25</v>
      </c>
      <c r="AD7" s="43">
        <v>20</v>
      </c>
      <c r="AE7" s="43">
        <v>25</v>
      </c>
      <c r="AF7" s="43">
        <v>25</v>
      </c>
      <c r="AG7" s="43">
        <v>280</v>
      </c>
    </row>
    <row r="8" spans="1:37" ht="200.25" customHeight="1" x14ac:dyDescent="0.25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5</v>
      </c>
      <c r="I8" s="10" t="s">
        <v>6</v>
      </c>
      <c r="J8" s="10" t="s">
        <v>7</v>
      </c>
      <c r="K8" s="10" t="s">
        <v>8</v>
      </c>
      <c r="L8" s="38" t="s">
        <v>11</v>
      </c>
      <c r="M8" s="39" t="s">
        <v>41</v>
      </c>
      <c r="N8" s="39" t="s">
        <v>64</v>
      </c>
      <c r="O8" s="39" t="s">
        <v>42</v>
      </c>
      <c r="P8" s="38" t="s">
        <v>12</v>
      </c>
      <c r="Q8" s="39" t="s">
        <v>43</v>
      </c>
      <c r="R8" s="10" t="s">
        <v>5</v>
      </c>
      <c r="S8" s="10" t="s">
        <v>44</v>
      </c>
      <c r="T8" s="10" t="s">
        <v>7</v>
      </c>
      <c r="U8" s="10" t="s">
        <v>8</v>
      </c>
      <c r="V8" s="50" t="s">
        <v>63</v>
      </c>
      <c r="W8" s="12" t="s">
        <v>51</v>
      </c>
      <c r="X8" s="11" t="s">
        <v>14</v>
      </c>
      <c r="Y8" s="12" t="s">
        <v>15</v>
      </c>
      <c r="Z8" s="12" t="s">
        <v>52</v>
      </c>
      <c r="AA8" s="11" t="s">
        <v>17</v>
      </c>
      <c r="AB8" s="50" t="s">
        <v>5</v>
      </c>
      <c r="AC8" s="12" t="s">
        <v>13</v>
      </c>
      <c r="AD8" s="11" t="s">
        <v>14</v>
      </c>
      <c r="AE8" s="12" t="s">
        <v>53</v>
      </c>
      <c r="AF8" s="12" t="s">
        <v>16</v>
      </c>
      <c r="AG8" s="11" t="s">
        <v>17</v>
      </c>
      <c r="AH8" s="10" t="s">
        <v>9</v>
      </c>
      <c r="AI8" s="10" t="s">
        <v>10</v>
      </c>
      <c r="AK8" s="51" t="s">
        <v>55</v>
      </c>
    </row>
    <row r="9" spans="1:37" x14ac:dyDescent="0.25">
      <c r="A9" s="9"/>
      <c r="B9" s="13" t="s">
        <v>18</v>
      </c>
      <c r="C9" s="14"/>
      <c r="D9" s="14"/>
      <c r="E9" s="14"/>
      <c r="F9" s="14"/>
      <c r="G9" s="15"/>
      <c r="H9" s="5" t="s">
        <v>19</v>
      </c>
      <c r="I9" s="5"/>
      <c r="J9" s="5"/>
      <c r="K9" s="5"/>
      <c r="L9" s="16" t="s">
        <v>20</v>
      </c>
      <c r="M9" s="17"/>
      <c r="N9" s="17"/>
      <c r="O9" s="17"/>
      <c r="P9" s="17"/>
      <c r="Q9" s="18"/>
      <c r="R9" s="5" t="s">
        <v>19</v>
      </c>
      <c r="S9" s="5"/>
      <c r="T9" s="5"/>
      <c r="U9" s="5"/>
      <c r="V9" s="16" t="s">
        <v>21</v>
      </c>
      <c r="W9" s="17"/>
      <c r="X9" s="17"/>
      <c r="Y9" s="17"/>
      <c r="Z9" s="17"/>
      <c r="AA9" s="18"/>
      <c r="AB9" s="19" t="s">
        <v>18</v>
      </c>
      <c r="AC9" s="19"/>
      <c r="AD9" s="19"/>
      <c r="AE9" s="19"/>
      <c r="AF9" s="19"/>
      <c r="AG9" s="19"/>
      <c r="AH9" s="19"/>
      <c r="AI9" s="19"/>
      <c r="AK9" s="52"/>
    </row>
    <row r="10" spans="1:37" x14ac:dyDescent="0.25">
      <c r="A10" s="20" t="s">
        <v>22</v>
      </c>
      <c r="B10" s="21">
        <v>0.32400000000000001</v>
      </c>
      <c r="C10" s="21">
        <v>0.14400000000000002</v>
      </c>
      <c r="D10" s="21">
        <v>7.2000000000000008E-2</v>
      </c>
      <c r="E10" s="21">
        <v>0.14400000000000002</v>
      </c>
      <c r="F10" s="21">
        <v>1.0620000000000001</v>
      </c>
      <c r="G10" s="21">
        <v>5.3999999999999999E-2</v>
      </c>
      <c r="H10" s="22">
        <f>B10*$J$5/(H$7/1000000)/1000000000</f>
        <v>52.913609467455629</v>
      </c>
      <c r="I10" s="22">
        <f>C10*$J$5/(I$7/1000000)/1000000000</f>
        <v>38.461935483870974</v>
      </c>
      <c r="J10" s="22">
        <f>D10*$J$5/(J$7/1000000)/1000000000</f>
        <v>23.106976744186049</v>
      </c>
      <c r="K10" s="22">
        <f>E10*$J$5/(K$7/1000000)/1000000000</f>
        <v>38.215384615384622</v>
      </c>
      <c r="L10" s="23">
        <v>1</v>
      </c>
      <c r="M10" s="23">
        <v>0.54</v>
      </c>
      <c r="N10" s="23">
        <v>0.5</v>
      </c>
      <c r="O10" s="23">
        <v>0.35</v>
      </c>
      <c r="P10" s="23">
        <v>0.6</v>
      </c>
      <c r="Q10" s="23">
        <v>0.9</v>
      </c>
      <c r="R10" s="44">
        <f>H10*$L10*M10*$Q10</f>
        <v>25.716014201183437</v>
      </c>
      <c r="S10" s="44">
        <f t="shared" ref="S10:U20" si="0">I10*$L10*N10*$Q10</f>
        <v>17.307870967741938</v>
      </c>
      <c r="T10" s="44">
        <f t="shared" si="0"/>
        <v>7.2786976744186047</v>
      </c>
      <c r="U10" s="44">
        <f t="shared" si="0"/>
        <v>20.636307692307696</v>
      </c>
      <c r="V10" s="22">
        <f>($R10*V$2+$S10*V$3+$T10*V$4+$U10*V$5)*1.14</f>
        <v>51.867864029339884</v>
      </c>
      <c r="W10" s="22">
        <f>($R10*W$2+$S10*W$3+$T10*W$4+$U10*W$5)*1.1</f>
        <v>7.6766264758497336</v>
      </c>
      <c r="X10" s="22">
        <f>$R10*X$2+$S10*X$3+$T10*X$4+$U10*X$5</f>
        <v>2.4275656529516998</v>
      </c>
      <c r="Y10" s="22">
        <f t="shared" ref="Y10:Y20" si="1">($R10*Y$2+$S10*Y$3+$T10*Y$4+$U10*Y$5)</f>
        <v>10.318153846153848</v>
      </c>
      <c r="Z10" s="22">
        <f t="shared" ref="Z10:Z20" si="2">($R10*Z$2+$S10*Z$3+$T10*Z$4+$U10*Z$5)*1.12</f>
        <v>1.6304282790697677</v>
      </c>
      <c r="AA10" s="22">
        <f>$R10*AA$2+$S10*AA$3+$T10*AA$4+$U10*AA$5</f>
        <v>2.0769445161290325</v>
      </c>
      <c r="AB10" s="21">
        <f>V10/$J$5*1000000000*AB$7/1000000</f>
        <v>8.1435052219978078E-3</v>
      </c>
      <c r="AC10" s="21">
        <f>W10/$J$5*1000000000*AC$7/1000000</f>
        <v>2.3178220035778179E-3</v>
      </c>
      <c r="AD10" s="21">
        <f>X10/$J$5*1000000000*AD$7/1000000</f>
        <v>5.8636851520572453E-4</v>
      </c>
      <c r="AE10" s="21">
        <f>Y10/$J$5*1000000000*AE$7/1000000</f>
        <v>3.1153846153846158E-3</v>
      </c>
      <c r="AF10" s="21">
        <f>Z10/$J$5*1000000000*AF$7/1000000</f>
        <v>4.9227906976744202E-4</v>
      </c>
      <c r="AG10" s="21">
        <f>AA10/$J$5*1000000000*AG$7/1000000</f>
        <v>7.023483870967742E-3</v>
      </c>
      <c r="AH10" s="25">
        <f>F10*$L10*Q10-0.248</f>
        <v>0.7078000000000001</v>
      </c>
      <c r="AI10" s="25">
        <f t="shared" ref="AI10:AI20" si="3">G10*$L10*N$18</f>
        <v>4.3200000000000002E-2</v>
      </c>
      <c r="AK10" s="53">
        <f>SUM(AB10:AI10)</f>
        <v>0.77267884329690129</v>
      </c>
    </row>
    <row r="11" spans="1:37" x14ac:dyDescent="0.25">
      <c r="A11" s="9" t="s">
        <v>23</v>
      </c>
      <c r="B11" s="21">
        <v>5.6999999999999995E-2</v>
      </c>
      <c r="C11" s="21">
        <v>0.1</v>
      </c>
      <c r="D11" s="21">
        <v>1.56</v>
      </c>
      <c r="E11" s="21">
        <v>0.19</v>
      </c>
      <c r="F11" s="21">
        <v>0</v>
      </c>
      <c r="G11" s="21">
        <v>0</v>
      </c>
      <c r="H11" s="22">
        <f>B11*$J$5/(H$7/1000000)/1000000000</f>
        <v>9.3088757396449715</v>
      </c>
      <c r="I11" s="22">
        <f>C11*$J$5/(I$7/1000000)/1000000000</f>
        <v>26.70967741935484</v>
      </c>
      <c r="J11" s="22">
        <f>D11*$J$5/(J$7/1000000)/1000000000</f>
        <v>500.6511627906977</v>
      </c>
      <c r="K11" s="22">
        <f>E11*$J$5/(K$7/1000000)/1000000000</f>
        <v>50.423076923076927</v>
      </c>
      <c r="L11" s="23">
        <v>1</v>
      </c>
      <c r="M11" s="23">
        <v>0.54</v>
      </c>
      <c r="N11" s="23">
        <v>0.5</v>
      </c>
      <c r="O11" s="23">
        <v>0.35</v>
      </c>
      <c r="P11" s="23">
        <v>0.6</v>
      </c>
      <c r="Q11" s="23">
        <v>1</v>
      </c>
      <c r="R11" s="44">
        <f t="shared" ref="R11:R20" si="4">H11*$L11*M11*$Q11</f>
        <v>5.0267928994082851</v>
      </c>
      <c r="S11" s="44">
        <f t="shared" si="0"/>
        <v>13.35483870967742</v>
      </c>
      <c r="T11" s="44">
        <f t="shared" si="0"/>
        <v>175.22790697674418</v>
      </c>
      <c r="U11" s="44">
        <f t="shared" si="0"/>
        <v>30.253846153846155</v>
      </c>
      <c r="V11" s="22">
        <f t="shared" ref="V11:V17" si="5">($R11*V$2+$S11*V$3+$T11*V$4+$U11*V$5)*1.14</f>
        <v>64.253488581879196</v>
      </c>
      <c r="W11" s="22">
        <f t="shared" ref="W11:W20" si="6">($R11*W$2+$S11*W$3+$T11*W$4+$U11*W$5)*1.1</f>
        <v>56.507482110912349</v>
      </c>
      <c r="X11" s="22">
        <f t="shared" ref="X11:X20" si="7">$R11*X$2+$S11*X$3+$T11*X$4+$U11*X$5</f>
        <v>11.786779964221825</v>
      </c>
      <c r="Y11" s="22">
        <f t="shared" si="1"/>
        <v>15.126923076923077</v>
      </c>
      <c r="Z11" s="22">
        <f t="shared" si="2"/>
        <v>39.251051162790702</v>
      </c>
      <c r="AA11" s="22">
        <f t="shared" ref="AA11:AA20" si="8">$R11*AA$2+$S11*AA$3+$T11*AA$4+$U11*AA$5</f>
        <v>1.6025806451612903</v>
      </c>
      <c r="AB11" s="21">
        <f t="shared" ref="AB11:AG20" si="9">V11/$J$5*1000000000*AB$7/1000000</f>
        <v>1.0088108110681516E-2</v>
      </c>
      <c r="AC11" s="21">
        <f t="shared" si="9"/>
        <v>1.7061437835420395E-2</v>
      </c>
      <c r="AD11" s="21">
        <f t="shared" si="9"/>
        <v>2.8470483005366724E-3</v>
      </c>
      <c r="AE11" s="21">
        <f t="shared" si="9"/>
        <v>4.5673076923076926E-3</v>
      </c>
      <c r="AF11" s="21">
        <f t="shared" si="9"/>
        <v>1.1851162790697676E-2</v>
      </c>
      <c r="AG11" s="21">
        <f t="shared" si="9"/>
        <v>5.4193548387096759E-3</v>
      </c>
      <c r="AH11" s="21">
        <v>0</v>
      </c>
      <c r="AI11" s="25">
        <f t="shared" si="3"/>
        <v>0</v>
      </c>
      <c r="AK11" s="53">
        <f t="shared" ref="AK11:AK21" si="10">SUM(AB11:AI11)</f>
        <v>5.1834419568353621E-2</v>
      </c>
    </row>
    <row r="12" spans="1:37" ht="30" x14ac:dyDescent="0.25">
      <c r="A12" s="9" t="s">
        <v>24</v>
      </c>
      <c r="B12" s="21">
        <v>0.76</v>
      </c>
      <c r="C12" s="21">
        <v>0.44</v>
      </c>
      <c r="D12" s="21">
        <v>0.51</v>
      </c>
      <c r="E12" s="21">
        <v>0.13</v>
      </c>
      <c r="F12" s="21">
        <v>0</v>
      </c>
      <c r="G12" s="21">
        <v>0.06</v>
      </c>
      <c r="H12" s="22">
        <f>B12*$J$5/(H$7/1000000)/1000000000</f>
        <v>124.11834319526628</v>
      </c>
      <c r="I12" s="22">
        <f>C12*$J$5/(I$7/1000000)/1000000000</f>
        <v>117.52258064516128</v>
      </c>
      <c r="J12" s="22">
        <f>D12*$J$5/(J$7/1000000)/1000000000</f>
        <v>163.67441860465118</v>
      </c>
      <c r="K12" s="22">
        <f>E12*$J$5/(K$7/1000000)/1000000000</f>
        <v>34.5</v>
      </c>
      <c r="L12" s="23">
        <v>1</v>
      </c>
      <c r="M12" s="23">
        <v>0.54</v>
      </c>
      <c r="N12" s="23">
        <v>0.5</v>
      </c>
      <c r="O12" s="23">
        <v>0.35</v>
      </c>
      <c r="P12" s="23">
        <v>0.6</v>
      </c>
      <c r="Q12" s="23">
        <v>1</v>
      </c>
      <c r="R12" s="44">
        <f t="shared" si="4"/>
        <v>67.023905325443792</v>
      </c>
      <c r="S12" s="44">
        <f t="shared" si="0"/>
        <v>58.761290322580642</v>
      </c>
      <c r="T12" s="44">
        <f t="shared" si="0"/>
        <v>57.286046511627909</v>
      </c>
      <c r="U12" s="44">
        <f t="shared" si="0"/>
        <v>20.7</v>
      </c>
      <c r="V12" s="22">
        <f t="shared" si="5"/>
        <v>151.95749712726999</v>
      </c>
      <c r="W12" s="22">
        <f t="shared" si="6"/>
        <v>21.446162790697674</v>
      </c>
      <c r="X12" s="22">
        <f t="shared" si="7"/>
        <v>4.9343023255813954</v>
      </c>
      <c r="Y12" s="22">
        <f t="shared" si="1"/>
        <v>10.35</v>
      </c>
      <c r="Z12" s="22">
        <f t="shared" si="2"/>
        <v>12.832074418604654</v>
      </c>
      <c r="AA12" s="22">
        <f t="shared" si="8"/>
        <v>7.0513548387096767</v>
      </c>
      <c r="AB12" s="21">
        <f t="shared" si="9"/>
        <v>2.3858061143170406E-2</v>
      </c>
      <c r="AC12" s="21">
        <f t="shared" si="9"/>
        <v>6.475290697674419E-3</v>
      </c>
      <c r="AD12" s="21">
        <f t="shared" si="9"/>
        <v>1.1918604651162791E-3</v>
      </c>
      <c r="AE12" s="21">
        <f t="shared" si="9"/>
        <v>3.1250000000000002E-3</v>
      </c>
      <c r="AF12" s="21">
        <f t="shared" si="9"/>
        <v>3.8744186046511635E-3</v>
      </c>
      <c r="AG12" s="21">
        <f t="shared" si="9"/>
        <v>2.3845161290322579E-2</v>
      </c>
      <c r="AH12" s="21">
        <v>0</v>
      </c>
      <c r="AI12" s="25">
        <f t="shared" si="3"/>
        <v>4.8000000000000001E-2</v>
      </c>
      <c r="AK12" s="53">
        <f t="shared" si="10"/>
        <v>0.11036979220093485</v>
      </c>
    </row>
    <row r="13" spans="1:37" x14ac:dyDescent="0.25">
      <c r="A13" s="20" t="s">
        <v>25</v>
      </c>
      <c r="B13" s="21">
        <v>4.4999999999999998E-2</v>
      </c>
      <c r="C13" s="21">
        <v>1.4550000000000001</v>
      </c>
      <c r="D13" s="21">
        <v>0</v>
      </c>
      <c r="E13" s="21">
        <v>0</v>
      </c>
      <c r="F13" s="21">
        <v>0</v>
      </c>
      <c r="G13" s="21">
        <v>0</v>
      </c>
      <c r="H13" s="22">
        <f>B13*$J$5/(H$7/1000000)/1000000000</f>
        <v>7.3491124260355036</v>
      </c>
      <c r="I13" s="22">
        <f>C13*$J$5/(I$7/1000000)/1000000000</f>
        <v>388.6258064516129</v>
      </c>
      <c r="J13" s="22">
        <f>D13*$J$5/(J$7/1000000)/1000000000</f>
        <v>0</v>
      </c>
      <c r="K13" s="22">
        <f>E13*$J$5/(K$7/1000000)/1000000000</f>
        <v>0</v>
      </c>
      <c r="L13" s="23">
        <v>1</v>
      </c>
      <c r="M13" s="23">
        <v>0.54</v>
      </c>
      <c r="N13" s="23">
        <v>0.4</v>
      </c>
      <c r="O13" s="23">
        <v>0.35</v>
      </c>
      <c r="P13" s="23">
        <v>0.6</v>
      </c>
      <c r="Q13" s="23">
        <v>1</v>
      </c>
      <c r="R13" s="44">
        <f t="shared" si="4"/>
        <v>3.9685207100591722</v>
      </c>
      <c r="S13" s="44">
        <f t="shared" si="0"/>
        <v>155.45032258064518</v>
      </c>
      <c r="T13" s="44">
        <f t="shared" si="0"/>
        <v>0</v>
      </c>
      <c r="U13" s="44">
        <f t="shared" si="0"/>
        <v>0</v>
      </c>
      <c r="V13" s="22">
        <f t="shared" si="5"/>
        <v>160.47187722237069</v>
      </c>
      <c r="W13" s="22">
        <f t="shared" si="6"/>
        <v>0</v>
      </c>
      <c r="X13" s="22">
        <f t="shared" si="7"/>
        <v>0</v>
      </c>
      <c r="Y13" s="22">
        <f t="shared" si="1"/>
        <v>0</v>
      </c>
      <c r="Z13" s="22">
        <f t="shared" si="2"/>
        <v>0</v>
      </c>
      <c r="AA13" s="22">
        <f t="shared" si="8"/>
        <v>18.654038709677419</v>
      </c>
      <c r="AB13" s="21">
        <f t="shared" si="9"/>
        <v>2.5194859950372208E-2</v>
      </c>
      <c r="AC13" s="21">
        <f t="shared" si="9"/>
        <v>0</v>
      </c>
      <c r="AD13" s="21">
        <f t="shared" si="9"/>
        <v>0</v>
      </c>
      <c r="AE13" s="21">
        <f t="shared" si="9"/>
        <v>0</v>
      </c>
      <c r="AF13" s="21">
        <f t="shared" si="9"/>
        <v>0</v>
      </c>
      <c r="AG13" s="21">
        <f t="shared" si="9"/>
        <v>6.3081290322580641E-2</v>
      </c>
      <c r="AH13" s="21">
        <v>0</v>
      </c>
      <c r="AI13" s="25">
        <f t="shared" si="3"/>
        <v>0</v>
      </c>
      <c r="AK13" s="53">
        <f t="shared" si="10"/>
        <v>8.8276150272952852E-2</v>
      </c>
    </row>
    <row r="14" spans="1:37" x14ac:dyDescent="0.25">
      <c r="A14" s="9" t="s">
        <v>26</v>
      </c>
      <c r="B14" s="21">
        <v>0.46</v>
      </c>
      <c r="C14" s="21">
        <v>0.16500000000000001</v>
      </c>
      <c r="D14" s="21">
        <v>0.06</v>
      </c>
      <c r="E14" s="21">
        <v>0.77</v>
      </c>
      <c r="F14" s="21">
        <v>0</v>
      </c>
      <c r="G14" s="21">
        <v>0.04</v>
      </c>
      <c r="H14" s="22">
        <f>B14*$J$5/(H$7/1000000)/1000000000</f>
        <v>75.124260355029591</v>
      </c>
      <c r="I14" s="22">
        <f>C14*$J$5/(I$7/1000000)/1000000000</f>
        <v>44.070967741935483</v>
      </c>
      <c r="J14" s="22">
        <f>D14*$J$5/(J$7/1000000)/1000000000</f>
        <v>19.255813953488374</v>
      </c>
      <c r="K14" s="22">
        <f>E14*$J$5/(K$7/1000000)/1000000000</f>
        <v>204.34615384615384</v>
      </c>
      <c r="L14" s="23">
        <v>1</v>
      </c>
      <c r="M14" s="23">
        <v>0.54</v>
      </c>
      <c r="N14" s="23">
        <v>0.5</v>
      </c>
      <c r="O14" s="23">
        <v>0.35</v>
      </c>
      <c r="P14" s="23">
        <v>0.6</v>
      </c>
      <c r="Q14" s="23">
        <v>1</v>
      </c>
      <c r="R14" s="44">
        <f t="shared" si="4"/>
        <v>40.567100591715985</v>
      </c>
      <c r="S14" s="44">
        <f t="shared" si="0"/>
        <v>22.035483870967742</v>
      </c>
      <c r="T14" s="44">
        <f t="shared" si="0"/>
        <v>6.739534883720931</v>
      </c>
      <c r="U14" s="44">
        <f t="shared" si="0"/>
        <v>122.6076923076923</v>
      </c>
      <c r="V14" s="22">
        <f t="shared" si="5"/>
        <v>90.855021432014809</v>
      </c>
      <c r="W14" s="22">
        <f t="shared" si="6"/>
        <v>35.570487477638643</v>
      </c>
      <c r="X14" s="22">
        <f t="shared" si="7"/>
        <v>12.597745974955277</v>
      </c>
      <c r="Y14" s="22">
        <f t="shared" si="1"/>
        <v>61.303846153846152</v>
      </c>
      <c r="Z14" s="22">
        <f t="shared" si="2"/>
        <v>1.5096558139534888</v>
      </c>
      <c r="AA14" s="22">
        <f t="shared" si="8"/>
        <v>2.6442580645161291</v>
      </c>
      <c r="AB14" s="21">
        <f t="shared" si="9"/>
        <v>1.426467727797334E-2</v>
      </c>
      <c r="AC14" s="21">
        <f t="shared" si="9"/>
        <v>1.0739881484794276E-2</v>
      </c>
      <c r="AD14" s="21">
        <f t="shared" si="9"/>
        <v>3.0429338103756709E-3</v>
      </c>
      <c r="AE14" s="21">
        <f t="shared" si="9"/>
        <v>1.8509615384615381E-2</v>
      </c>
      <c r="AF14" s="21">
        <f t="shared" si="9"/>
        <v>4.558139534883723E-4</v>
      </c>
      <c r="AG14" s="21">
        <f t="shared" si="9"/>
        <v>8.9419354838709674E-3</v>
      </c>
      <c r="AH14" s="21">
        <v>0</v>
      </c>
      <c r="AI14" s="25">
        <f t="shared" si="3"/>
        <v>3.2000000000000001E-2</v>
      </c>
      <c r="AK14" s="53">
        <f t="shared" si="10"/>
        <v>8.7954857395118005E-2</v>
      </c>
    </row>
    <row r="15" spans="1:37" x14ac:dyDescent="0.25">
      <c r="A15" s="20" t="s">
        <v>27</v>
      </c>
      <c r="B15" s="21">
        <v>0.17</v>
      </c>
      <c r="C15" s="21">
        <v>0.04</v>
      </c>
      <c r="D15" s="21">
        <v>7.0000000000000007E-2</v>
      </c>
      <c r="E15" s="21">
        <v>0.03</v>
      </c>
      <c r="F15" s="21">
        <v>0</v>
      </c>
      <c r="G15" s="21">
        <v>0</v>
      </c>
      <c r="H15" s="22">
        <f>B15*$J$5/(H$7/1000000)/1000000000</f>
        <v>27.76331360946746</v>
      </c>
      <c r="I15" s="22">
        <f>C15*$J$5/(I$7/1000000)/1000000000</f>
        <v>10.683870967741935</v>
      </c>
      <c r="J15" s="22">
        <f>D15*$J$5/(J$7/1000000)/1000000000</f>
        <v>22.465116279069772</v>
      </c>
      <c r="K15" s="22">
        <f>E15*$J$5/(K$7/1000000)/1000000000</f>
        <v>7.9615384615384617</v>
      </c>
      <c r="L15" s="23">
        <v>1</v>
      </c>
      <c r="M15" s="23">
        <v>0.54</v>
      </c>
      <c r="N15" s="23">
        <v>0.5</v>
      </c>
      <c r="O15" s="23">
        <v>0.35</v>
      </c>
      <c r="P15" s="23">
        <v>0.6</v>
      </c>
      <c r="Q15" s="23">
        <v>1</v>
      </c>
      <c r="R15" s="44">
        <f t="shared" si="4"/>
        <v>14.992189349112429</v>
      </c>
      <c r="S15" s="44">
        <f t="shared" si="0"/>
        <v>5.3419354838709676</v>
      </c>
      <c r="T15" s="44">
        <f t="shared" si="0"/>
        <v>7.86279069767442</v>
      </c>
      <c r="U15" s="44">
        <f t="shared" si="0"/>
        <v>4.7769230769230768</v>
      </c>
      <c r="V15" s="22">
        <f t="shared" si="5"/>
        <v>25.059695660631135</v>
      </c>
      <c r="W15" s="22">
        <f t="shared" si="6"/>
        <v>3.4759212880143115</v>
      </c>
      <c r="X15" s="22">
        <f t="shared" si="7"/>
        <v>0.87083184257602864</v>
      </c>
      <c r="Y15" s="22">
        <f t="shared" si="1"/>
        <v>2.3884615384615384</v>
      </c>
      <c r="Z15" s="22">
        <f t="shared" si="2"/>
        <v>1.7612651162790702</v>
      </c>
      <c r="AA15" s="22">
        <f t="shared" si="8"/>
        <v>0.64103225806451614</v>
      </c>
      <c r="AB15" s="21">
        <f t="shared" si="9"/>
        <v>3.9344932800507819E-3</v>
      </c>
      <c r="AC15" s="21">
        <f t="shared" si="9"/>
        <v>1.0494931425163987E-3</v>
      </c>
      <c r="AD15" s="21">
        <f t="shared" si="9"/>
        <v>2.1034585569469288E-4</v>
      </c>
      <c r="AE15" s="21">
        <f t="shared" si="9"/>
        <v>7.2115384615384609E-4</v>
      </c>
      <c r="AF15" s="21">
        <f t="shared" si="9"/>
        <v>5.3178294573643422E-4</v>
      </c>
      <c r="AG15" s="21">
        <f t="shared" si="9"/>
        <v>2.1677419354838709E-3</v>
      </c>
      <c r="AH15" s="21">
        <v>0</v>
      </c>
      <c r="AI15" s="25">
        <f t="shared" si="3"/>
        <v>0</v>
      </c>
      <c r="AK15" s="53">
        <f t="shared" si="10"/>
        <v>8.6150110056360252E-3</v>
      </c>
    </row>
    <row r="16" spans="1:37" x14ac:dyDescent="0.25">
      <c r="A16" s="20" t="s">
        <v>28</v>
      </c>
      <c r="B16" s="21">
        <v>0.53</v>
      </c>
      <c r="C16" s="21">
        <v>0.11</v>
      </c>
      <c r="D16" s="21">
        <v>0.09</v>
      </c>
      <c r="E16" s="21">
        <v>0.14000000000000001</v>
      </c>
      <c r="F16" s="21">
        <v>0</v>
      </c>
      <c r="G16" s="21">
        <v>0.03</v>
      </c>
      <c r="H16" s="22">
        <f>B16*$J$5/(H$7/1000000)/1000000000</f>
        <v>86.556213017751475</v>
      </c>
      <c r="I16" s="22">
        <f>C16*$J$5/(I$7/1000000)/1000000000</f>
        <v>29.380645161290321</v>
      </c>
      <c r="J16" s="22">
        <f>D16*$J$5/(J$7/1000000)/1000000000</f>
        <v>28.88372093023256</v>
      </c>
      <c r="K16" s="22">
        <f>E16*$J$5/(K$7/1000000)/1000000000</f>
        <v>37.15384615384616</v>
      </c>
      <c r="L16" s="23">
        <v>1</v>
      </c>
      <c r="M16" s="23">
        <v>0.54</v>
      </c>
      <c r="N16" s="23">
        <v>0.5</v>
      </c>
      <c r="O16" s="23">
        <v>0.35</v>
      </c>
      <c r="P16" s="23">
        <v>0.6</v>
      </c>
      <c r="Q16" s="23">
        <v>1</v>
      </c>
      <c r="R16" s="44">
        <f t="shared" si="4"/>
        <v>46.7403550295858</v>
      </c>
      <c r="S16" s="44">
        <f t="shared" si="0"/>
        <v>14.69032258064516</v>
      </c>
      <c r="T16" s="44">
        <f t="shared" si="0"/>
        <v>10.109302325581396</v>
      </c>
      <c r="U16" s="44">
        <f t="shared" si="0"/>
        <v>22.292307692307695</v>
      </c>
      <c r="V16" s="22">
        <f t="shared" si="5"/>
        <v>74.138241892248203</v>
      </c>
      <c r="W16" s="22">
        <f t="shared" si="6"/>
        <v>8.9104427549195009</v>
      </c>
      <c r="X16" s="22">
        <f t="shared" si="7"/>
        <v>2.7346958855098396</v>
      </c>
      <c r="Y16" s="22">
        <f t="shared" si="1"/>
        <v>11.146153846153847</v>
      </c>
      <c r="Z16" s="22">
        <f t="shared" si="2"/>
        <v>2.2644837209302331</v>
      </c>
      <c r="AA16" s="22">
        <f t="shared" si="8"/>
        <v>1.7628387096774192</v>
      </c>
      <c r="AB16" s="21">
        <f t="shared" si="9"/>
        <v>1.1640062132840901E-2</v>
      </c>
      <c r="AC16" s="21">
        <f t="shared" si="9"/>
        <v>2.6903510733452601E-3</v>
      </c>
      <c r="AD16" s="21">
        <f t="shared" si="9"/>
        <v>6.6055456171735258E-4</v>
      </c>
      <c r="AE16" s="21">
        <f t="shared" si="9"/>
        <v>3.365384615384616E-3</v>
      </c>
      <c r="AF16" s="21">
        <f t="shared" si="9"/>
        <v>6.8372093023255827E-4</v>
      </c>
      <c r="AG16" s="21">
        <f t="shared" si="9"/>
        <v>5.9612903225806447E-3</v>
      </c>
      <c r="AH16" s="21">
        <v>0</v>
      </c>
      <c r="AI16" s="25">
        <f t="shared" si="3"/>
        <v>2.4E-2</v>
      </c>
      <c r="AK16" s="53">
        <f t="shared" si="10"/>
        <v>4.9001363636101331E-2</v>
      </c>
    </row>
    <row r="17" spans="1:37" x14ac:dyDescent="0.25">
      <c r="A17" s="20" t="s">
        <v>29</v>
      </c>
      <c r="B17" s="21">
        <v>0.13</v>
      </c>
      <c r="C17" s="21">
        <v>0.06</v>
      </c>
      <c r="D17" s="21">
        <v>2.4E-2</v>
      </c>
      <c r="E17" s="21">
        <v>0.37</v>
      </c>
      <c r="F17" s="21">
        <v>0</v>
      </c>
      <c r="G17" s="21">
        <v>0.02</v>
      </c>
      <c r="H17" s="22">
        <f>B17*$J$5/(H$7/1000000)/1000000000</f>
        <v>21.230769230769234</v>
      </c>
      <c r="I17" s="22">
        <f>C17*$J$5/(I$7/1000000)/1000000000</f>
        <v>16.025806451612905</v>
      </c>
      <c r="J17" s="22">
        <f>D17*$J$5/(J$7/1000000)/1000000000</f>
        <v>7.7023255813953497</v>
      </c>
      <c r="K17" s="22">
        <f>E17*$J$5/(K$7/1000000)/1000000000</f>
        <v>98.192307692307693</v>
      </c>
      <c r="L17" s="23">
        <v>1</v>
      </c>
      <c r="M17" s="23">
        <v>0.54</v>
      </c>
      <c r="N17" s="23">
        <v>0.5</v>
      </c>
      <c r="O17" s="23">
        <v>0.35</v>
      </c>
      <c r="P17" s="23">
        <v>0.6</v>
      </c>
      <c r="Q17" s="23">
        <v>1</v>
      </c>
      <c r="R17" s="44">
        <f t="shared" si="4"/>
        <v>11.464615384615387</v>
      </c>
      <c r="S17" s="44">
        <f t="shared" si="0"/>
        <v>8.0129032258064523</v>
      </c>
      <c r="T17" s="44">
        <f t="shared" si="0"/>
        <v>2.6958139534883721</v>
      </c>
      <c r="U17" s="44">
        <f t="shared" si="0"/>
        <v>58.91538461538461</v>
      </c>
      <c r="V17" s="22">
        <f t="shared" si="5"/>
        <v>31.797382405216691</v>
      </c>
      <c r="W17" s="22">
        <f t="shared" si="6"/>
        <v>16.943079606440069</v>
      </c>
      <c r="X17" s="22">
        <f t="shared" si="7"/>
        <v>6.0263291592128798</v>
      </c>
      <c r="Y17" s="22">
        <f t="shared" si="1"/>
        <v>29.457692307692305</v>
      </c>
      <c r="Z17" s="22">
        <f t="shared" si="2"/>
        <v>0.60386232558139552</v>
      </c>
      <c r="AA17" s="22">
        <f t="shared" si="8"/>
        <v>0.96154838709677426</v>
      </c>
      <c r="AB17" s="21">
        <f t="shared" si="9"/>
        <v>4.9923426481620408E-3</v>
      </c>
      <c r="AC17" s="21">
        <f t="shared" si="9"/>
        <v>5.1156641323792471E-3</v>
      </c>
      <c r="AD17" s="21">
        <f t="shared" si="9"/>
        <v>1.4556350626118066E-3</v>
      </c>
      <c r="AE17" s="21">
        <f t="shared" si="9"/>
        <v>8.8942307692307671E-3</v>
      </c>
      <c r="AF17" s="21">
        <f t="shared" si="9"/>
        <v>1.8232558139534888E-4</v>
      </c>
      <c r="AG17" s="21">
        <f t="shared" si="9"/>
        <v>3.2516129032258063E-3</v>
      </c>
      <c r="AH17" s="21">
        <v>0</v>
      </c>
      <c r="AI17" s="25">
        <f t="shared" si="3"/>
        <v>1.6E-2</v>
      </c>
      <c r="AK17" s="53">
        <f t="shared" si="10"/>
        <v>3.9891811097005014E-2</v>
      </c>
    </row>
    <row r="18" spans="1:37" x14ac:dyDescent="0.25">
      <c r="A18" s="9" t="s">
        <v>30</v>
      </c>
      <c r="B18" s="21">
        <v>1.2E-2</v>
      </c>
      <c r="C18" s="21">
        <v>0.21</v>
      </c>
      <c r="D18" s="21">
        <v>6.0000000000000001E-3</v>
      </c>
      <c r="E18" s="21">
        <v>1.7999999999999999E-2</v>
      </c>
      <c r="F18" s="21">
        <v>0</v>
      </c>
      <c r="G18" s="21">
        <v>0.35</v>
      </c>
      <c r="H18" s="22">
        <f>B18*$J$5/(H$7/1000000)/1000000000</f>
        <v>1.9597633136094674</v>
      </c>
      <c r="I18" s="22">
        <f>C18*$J$5/(I$7/1000000)/1000000000</f>
        <v>56.090322580645164</v>
      </c>
      <c r="J18" s="22">
        <f>D18*$J$5/(J$7/1000000)/1000000000</f>
        <v>1.9255813953488374</v>
      </c>
      <c r="K18" s="22">
        <f>E18*$J$5/(K$7/1000000)/1000000000</f>
        <v>4.7769230769230768</v>
      </c>
      <c r="L18" s="23">
        <v>1</v>
      </c>
      <c r="M18" s="23">
        <v>0.54</v>
      </c>
      <c r="N18" s="24">
        <v>0.8</v>
      </c>
      <c r="O18" s="23">
        <v>0.35</v>
      </c>
      <c r="P18" s="23">
        <v>0.6</v>
      </c>
      <c r="Q18" s="23">
        <v>1</v>
      </c>
      <c r="R18" s="44">
        <f t="shared" si="4"/>
        <v>1.0582721893491125</v>
      </c>
      <c r="S18" s="44">
        <f t="shared" si="0"/>
        <v>44.872258064516132</v>
      </c>
      <c r="T18" s="44">
        <f t="shared" si="0"/>
        <v>0.67395348837209301</v>
      </c>
      <c r="U18" s="44">
        <f t="shared" si="0"/>
        <v>2.8661538461538458</v>
      </c>
      <c r="V18" s="22">
        <f>($R18*V$2+0+$T18*V$4+$U18*V$5)*1.14</f>
        <v>1.850203998899133</v>
      </c>
      <c r="W18" s="22">
        <f t="shared" si="6"/>
        <v>0.9735295169946333</v>
      </c>
      <c r="X18" s="22">
        <f t="shared" si="7"/>
        <v>0.32031305903398927</v>
      </c>
      <c r="Y18" s="22">
        <f t="shared" si="1"/>
        <v>1.4330769230769229</v>
      </c>
      <c r="Z18" s="22">
        <f t="shared" si="2"/>
        <v>0.15096558139534888</v>
      </c>
      <c r="AA18" s="22">
        <f>$R18*AA$2+$S18*1+$T18*AA$4+$U18*AA$5</f>
        <v>44.872258064516132</v>
      </c>
      <c r="AB18" s="21">
        <f t="shared" si="9"/>
        <v>2.9049096601073345E-4</v>
      </c>
      <c r="AC18" s="21">
        <f t="shared" si="9"/>
        <v>2.9394007155635066E-4</v>
      </c>
      <c r="AD18" s="21">
        <f t="shared" si="9"/>
        <v>7.7370304114490168E-5</v>
      </c>
      <c r="AE18" s="21">
        <f t="shared" si="9"/>
        <v>4.3269230769230754E-4</v>
      </c>
      <c r="AF18" s="21">
        <f t="shared" si="9"/>
        <v>4.5581395348837221E-5</v>
      </c>
      <c r="AG18" s="21">
        <f t="shared" si="9"/>
        <v>0.15174193548387097</v>
      </c>
      <c r="AH18" s="21">
        <v>0</v>
      </c>
      <c r="AI18" s="25">
        <f>G18*$L18*N$18</f>
        <v>0.27999999999999997</v>
      </c>
      <c r="AK18" s="53">
        <f t="shared" si="10"/>
        <v>0.43288201052859365</v>
      </c>
    </row>
    <row r="19" spans="1:37" x14ac:dyDescent="0.25">
      <c r="A19" s="26" t="s">
        <v>31</v>
      </c>
      <c r="B19" s="21">
        <v>0.6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>
        <f>B19*$J$5/(H$7/1000000)/1000000000</f>
        <v>97.988165680473372</v>
      </c>
      <c r="I19" s="22">
        <f>C19*$J$5/(I$7/1000000)/1000000000</f>
        <v>0</v>
      </c>
      <c r="J19" s="22">
        <f>D19*$J$5/(J$7/1000000)/1000000000</f>
        <v>0</v>
      </c>
      <c r="K19" s="22">
        <f>E19*$J$5/(K$7/1000000)/1000000000</f>
        <v>0</v>
      </c>
      <c r="L19" s="23">
        <v>1</v>
      </c>
      <c r="M19" s="23">
        <v>0.5</v>
      </c>
      <c r="N19" s="23">
        <v>0.5</v>
      </c>
      <c r="O19" s="23">
        <v>0.35</v>
      </c>
      <c r="P19" s="23">
        <v>0.6</v>
      </c>
      <c r="Q19" s="23">
        <v>1</v>
      </c>
      <c r="R19" s="44">
        <f t="shared" si="4"/>
        <v>48.994082840236686</v>
      </c>
      <c r="S19" s="44">
        <f t="shared" si="0"/>
        <v>0</v>
      </c>
      <c r="T19" s="44">
        <f t="shared" si="0"/>
        <v>0</v>
      </c>
      <c r="U19" s="44">
        <f t="shared" si="0"/>
        <v>0</v>
      </c>
      <c r="V19" s="22">
        <f t="shared" ref="V19:V20" si="11">($R19*V$2+$S19*V$3+$T19*V$4+$U19*V$5)*1.14</f>
        <v>55.853254437869815</v>
      </c>
      <c r="W19" s="22">
        <f t="shared" si="6"/>
        <v>0</v>
      </c>
      <c r="X19" s="22">
        <f t="shared" si="7"/>
        <v>0</v>
      </c>
      <c r="Y19" s="22">
        <f t="shared" si="1"/>
        <v>0</v>
      </c>
      <c r="Z19" s="22">
        <f t="shared" si="2"/>
        <v>0</v>
      </c>
      <c r="AA19" s="22">
        <f t="shared" si="8"/>
        <v>0</v>
      </c>
      <c r="AB19" s="21">
        <f t="shared" si="9"/>
        <v>8.7692307692307687E-3</v>
      </c>
      <c r="AC19" s="21">
        <f t="shared" si="9"/>
        <v>0</v>
      </c>
      <c r="AD19" s="21">
        <f t="shared" si="9"/>
        <v>0</v>
      </c>
      <c r="AE19" s="21">
        <f t="shared" si="9"/>
        <v>0</v>
      </c>
      <c r="AF19" s="21">
        <f t="shared" si="9"/>
        <v>0</v>
      </c>
      <c r="AG19" s="21">
        <f t="shared" si="9"/>
        <v>0</v>
      </c>
      <c r="AH19" s="21">
        <v>0</v>
      </c>
      <c r="AI19" s="25">
        <f t="shared" ref="AI19:AI20" si="12">G19*$L19*N$18</f>
        <v>0</v>
      </c>
      <c r="AK19" s="53">
        <f t="shared" si="10"/>
        <v>8.7692307692307687E-3</v>
      </c>
    </row>
    <row r="20" spans="1:37" x14ac:dyDescent="0.25">
      <c r="A20" s="20" t="s">
        <v>32</v>
      </c>
      <c r="B20" s="21">
        <v>0.06</v>
      </c>
      <c r="C20" s="21">
        <v>3.2000000000000001E-2</v>
      </c>
      <c r="D20" s="21">
        <v>1.6E-2</v>
      </c>
      <c r="E20" s="21">
        <v>0</v>
      </c>
      <c r="F20" s="21">
        <v>0.28799999999999998</v>
      </c>
      <c r="G20" s="21">
        <v>0.01</v>
      </c>
      <c r="H20" s="22">
        <f>B20*$J$5/(H$7/1000000)/1000000000</f>
        <v>9.7988165680473394</v>
      </c>
      <c r="I20" s="22">
        <f>C20*$J$5/(I$7/1000000)/1000000000</f>
        <v>8.5470967741935482</v>
      </c>
      <c r="J20" s="22">
        <f>D20*$J$5/(J$7/1000000)/1000000000</f>
        <v>5.1348837209302332</v>
      </c>
      <c r="K20" s="22">
        <f>E20*$J$5/(K$7/1000000)/1000000000</f>
        <v>0</v>
      </c>
      <c r="L20" s="23">
        <v>1</v>
      </c>
      <c r="M20" s="23">
        <v>0.54</v>
      </c>
      <c r="N20" s="23">
        <v>0.5</v>
      </c>
      <c r="O20" s="23">
        <v>0.35</v>
      </c>
      <c r="P20" s="23">
        <v>0.6</v>
      </c>
      <c r="Q20" s="23">
        <v>1</v>
      </c>
      <c r="R20" s="44">
        <f t="shared" si="4"/>
        <v>5.2913609467455638</v>
      </c>
      <c r="S20" s="44">
        <f t="shared" si="0"/>
        <v>4.2735483870967741</v>
      </c>
      <c r="T20" s="44">
        <f t="shared" si="0"/>
        <v>1.7972093023255815</v>
      </c>
      <c r="U20" s="44">
        <f t="shared" si="0"/>
        <v>0</v>
      </c>
      <c r="V20" s="22">
        <f t="shared" si="11"/>
        <v>10.729138942155657</v>
      </c>
      <c r="W20" s="22">
        <f t="shared" si="6"/>
        <v>0.49423255813953498</v>
      </c>
      <c r="X20" s="22">
        <f t="shared" si="7"/>
        <v>8.9860465116279084E-2</v>
      </c>
      <c r="Y20" s="22">
        <f t="shared" si="1"/>
        <v>0</v>
      </c>
      <c r="Z20" s="22">
        <f t="shared" si="2"/>
        <v>0.40257488372093031</v>
      </c>
      <c r="AA20" s="22">
        <f t="shared" si="8"/>
        <v>0.51282580645161291</v>
      </c>
      <c r="AB20" s="21">
        <f t="shared" si="9"/>
        <v>1.6845266455075309E-3</v>
      </c>
      <c r="AC20" s="21">
        <f t="shared" si="9"/>
        <v>1.4922480620155042E-4</v>
      </c>
      <c r="AD20" s="21">
        <f t="shared" si="9"/>
        <v>2.170542635658915E-5</v>
      </c>
      <c r="AE20" s="21">
        <f t="shared" si="9"/>
        <v>0</v>
      </c>
      <c r="AF20" s="21">
        <f t="shared" si="9"/>
        <v>1.2155038759689924E-4</v>
      </c>
      <c r="AG20" s="21">
        <f t="shared" si="9"/>
        <v>1.7341935483870968E-3</v>
      </c>
      <c r="AH20" s="25">
        <f>F20*$L20-0.052</f>
        <v>0.23599999999999999</v>
      </c>
      <c r="AI20" s="25">
        <f t="shared" si="12"/>
        <v>8.0000000000000002E-3</v>
      </c>
      <c r="AK20" s="53">
        <f t="shared" si="10"/>
        <v>0.24771120081404965</v>
      </c>
    </row>
    <row r="21" spans="1:37" x14ac:dyDescent="0.25">
      <c r="A21" s="27" t="s">
        <v>33</v>
      </c>
      <c r="B21" s="21">
        <f>SUM(B10:B20)</f>
        <v>3.1480000000000001</v>
      </c>
      <c r="C21" s="21">
        <f t="shared" ref="C21:G21" si="13">SUM(C10:C20)</f>
        <v>2.7560000000000002</v>
      </c>
      <c r="D21" s="21">
        <f t="shared" si="13"/>
        <v>2.4079999999999999</v>
      </c>
      <c r="E21" s="21">
        <f t="shared" si="13"/>
        <v>1.792</v>
      </c>
      <c r="F21" s="21">
        <f t="shared" si="13"/>
        <v>1.35</v>
      </c>
      <c r="G21" s="21">
        <f t="shared" si="13"/>
        <v>0.56399999999999995</v>
      </c>
      <c r="H21" s="22">
        <f>B21*$J$5/(H$7/1000000)/1000000000</f>
        <v>514.11124260355041</v>
      </c>
      <c r="I21" s="22">
        <f>C21*$J$5/(I$7/1000000)/1000000000</f>
        <v>736.11870967741947</v>
      </c>
      <c r="J21" s="22">
        <f>D21*$J$5/(J$7/1000000)/1000000000</f>
        <v>772.8</v>
      </c>
      <c r="K21" s="22">
        <f>E21*$J$5/(K$7/1000000)/1000000000</f>
        <v>475.56923076923078</v>
      </c>
      <c r="R21" s="21">
        <f t="shared" ref="R21:U21" si="14">SUM(R10:R20)</f>
        <v>270.84320946745567</v>
      </c>
      <c r="S21" s="21">
        <f t="shared" si="14"/>
        <v>344.10077419354838</v>
      </c>
      <c r="T21" s="21">
        <f t="shared" si="14"/>
        <v>269.67125581395351</v>
      </c>
      <c r="U21" s="21">
        <f t="shared" si="14"/>
        <v>283.0486153846154</v>
      </c>
      <c r="V21" s="22">
        <f>SUM(V10:V20)</f>
        <v>718.8336657298953</v>
      </c>
      <c r="W21" s="22">
        <f>SUM(W10:W20)</f>
        <v>151.99796457960645</v>
      </c>
      <c r="X21" s="22">
        <f>U21*X5+T21*X4</f>
        <v>41.788424329159213</v>
      </c>
      <c r="Y21" s="22">
        <f>SUM(Y10:Y20)</f>
        <v>141.5243076923077</v>
      </c>
      <c r="Z21" s="22">
        <f>SUM(Z10:Z20)</f>
        <v>60.406361302325593</v>
      </c>
      <c r="AA21" s="22">
        <f>SUM(AA10:AA20)</f>
        <v>80.779679999999999</v>
      </c>
      <c r="AB21" s="21">
        <f>V21/$J$5*1000000000*AB7/1000000</f>
        <v>0.11286035814599805</v>
      </c>
      <c r="AC21" s="21">
        <f>W21/$J$5*1000000000*AC7/1000000</f>
        <v>4.5893105247465711E-2</v>
      </c>
      <c r="AD21" s="21">
        <f>X21/$J$5*1000000000*AD7/1000000</f>
        <v>1.0093822301729279E-2</v>
      </c>
      <c r="AE21" s="21">
        <f>Y21/$J$5*1000000000*AE7/1000000</f>
        <v>4.2730769230769232E-2</v>
      </c>
      <c r="AF21" s="21">
        <f>Z21/$J$5*1000000000*AF7/1000000</f>
        <v>1.8238635658914731E-2</v>
      </c>
      <c r="AG21" s="21">
        <f>AA21/$J$5*1000000000*AG7/1000000</f>
        <v>0.27316800000000002</v>
      </c>
      <c r="AH21" s="21">
        <f t="shared" ref="AH21:AI21" si="15">SUM(AH10:AH20)</f>
        <v>0.94380000000000008</v>
      </c>
      <c r="AI21" s="21">
        <f t="shared" si="15"/>
        <v>0.45119999999999999</v>
      </c>
      <c r="AK21" s="53">
        <f t="shared" si="10"/>
        <v>1.8979846905848772</v>
      </c>
    </row>
    <row r="22" spans="1:37" ht="15.75" thickBot="1" x14ac:dyDescent="0.3">
      <c r="AB22" s="28">
        <f>SUM(AB21:AI21)</f>
        <v>1.8979846905848772</v>
      </c>
      <c r="AC22" s="29"/>
      <c r="AD22" s="29"/>
      <c r="AE22" s="29"/>
      <c r="AF22" s="29"/>
      <c r="AG22" s="29"/>
      <c r="AH22" s="29"/>
      <c r="AI22" s="30"/>
    </row>
    <row r="23" spans="1:37" x14ac:dyDescent="0.25">
      <c r="W23" t="s">
        <v>56</v>
      </c>
      <c r="AB23" s="54"/>
      <c r="AC23" s="54"/>
      <c r="AD23" s="54"/>
      <c r="AE23" s="54"/>
      <c r="AF23" s="54"/>
      <c r="AG23" s="54"/>
      <c r="AH23" s="54"/>
      <c r="AI23" s="54"/>
    </row>
    <row r="24" spans="1:37" x14ac:dyDescent="0.25">
      <c r="V24" s="36">
        <f>Y21+W24</f>
        <v>235.77949661538463</v>
      </c>
      <c r="W24" s="36">
        <f>Y21*0.666</f>
        <v>94.255188923076929</v>
      </c>
      <c r="AB24" s="31"/>
      <c r="AC24" s="32"/>
      <c r="AD24" s="32"/>
      <c r="AE24" s="32"/>
      <c r="AF24" s="32"/>
      <c r="AG24" s="32"/>
      <c r="AH24" s="32"/>
      <c r="AI24" s="32"/>
    </row>
    <row r="25" spans="1:37" x14ac:dyDescent="0.25">
      <c r="V25" s="36"/>
      <c r="W25" s="36"/>
      <c r="AB25" s="31"/>
      <c r="AC25" s="32"/>
      <c r="AD25" s="32"/>
      <c r="AE25" s="32"/>
      <c r="AF25" s="32"/>
      <c r="AG25" s="32"/>
      <c r="AH25" s="32"/>
      <c r="AI25" s="32"/>
    </row>
    <row r="26" spans="1:37" x14ac:dyDescent="0.25">
      <c r="U26" s="1" t="s">
        <v>57</v>
      </c>
      <c r="V26" s="55">
        <f>V21+V24</f>
        <v>954.61316234527999</v>
      </c>
      <c r="W26" s="36"/>
      <c r="AE26" s="32"/>
      <c r="AF26" s="32"/>
      <c r="AG26" s="32"/>
      <c r="AH26" s="32"/>
      <c r="AI26" s="32"/>
    </row>
    <row r="27" spans="1:37" x14ac:dyDescent="0.25">
      <c r="U27" s="1" t="s">
        <v>34</v>
      </c>
      <c r="V27" s="55"/>
      <c r="AB27" s="58" t="s">
        <v>61</v>
      </c>
      <c r="AC27" s="32"/>
      <c r="AD27" s="32"/>
      <c r="AE27" s="32"/>
      <c r="AF27" s="32"/>
      <c r="AG27" s="32"/>
      <c r="AH27" s="32"/>
      <c r="AI27" s="32"/>
    </row>
    <row r="28" spans="1:37" x14ac:dyDescent="0.25">
      <c r="U28" s="56" t="s">
        <v>35</v>
      </c>
      <c r="V28" s="34">
        <v>22</v>
      </c>
      <c r="W28" s="35"/>
      <c r="AB28" s="59" t="s">
        <v>60</v>
      </c>
      <c r="AC28" s="59"/>
      <c r="AD28" s="59"/>
      <c r="AE28" s="59" t="s">
        <v>62</v>
      </c>
      <c r="AF28" s="59"/>
      <c r="AG28" s="59"/>
    </row>
    <row r="29" spans="1:37" x14ac:dyDescent="0.25">
      <c r="Q29" s="34"/>
      <c r="R29" s="34"/>
      <c r="S29" s="34"/>
      <c r="T29" s="34"/>
      <c r="U29" s="56" t="s">
        <v>38</v>
      </c>
      <c r="V29" s="34">
        <v>160</v>
      </c>
      <c r="W29" s="34"/>
      <c r="AB29" s="40">
        <v>1000</v>
      </c>
      <c r="AC29" s="40"/>
      <c r="AD29" s="40"/>
      <c r="AE29" s="40">
        <f>V29/AB29*1000</f>
        <v>160</v>
      </c>
      <c r="AF29" s="40"/>
      <c r="AG29" s="40"/>
    </row>
    <row r="30" spans="1:37" x14ac:dyDescent="0.25">
      <c r="Q30" s="34"/>
      <c r="R30" s="34"/>
      <c r="S30" s="34"/>
      <c r="T30" s="34"/>
      <c r="U30" s="56" t="s">
        <v>37</v>
      </c>
      <c r="V30" s="34">
        <v>230</v>
      </c>
      <c r="W30" s="34"/>
      <c r="AB30" s="40">
        <v>1700</v>
      </c>
      <c r="AC30" s="40"/>
      <c r="AD30" s="40"/>
      <c r="AE30" s="60">
        <f>V30/AB30*1000</f>
        <v>135.29411764705881</v>
      </c>
      <c r="AF30" s="60"/>
      <c r="AG30" s="60"/>
    </row>
    <row r="31" spans="1:37" x14ac:dyDescent="0.25">
      <c r="Q31" s="34"/>
      <c r="R31" s="34"/>
      <c r="S31" s="34"/>
      <c r="T31" s="34"/>
      <c r="U31" s="56" t="s">
        <v>36</v>
      </c>
      <c r="V31" s="34">
        <v>451</v>
      </c>
      <c r="W31" s="34"/>
      <c r="AB31" s="40">
        <v>1400</v>
      </c>
      <c r="AC31" s="40"/>
      <c r="AD31" s="40"/>
      <c r="AE31" s="60">
        <f>V31/AB31*1000</f>
        <v>322.14285714285711</v>
      </c>
      <c r="AF31" s="60"/>
      <c r="AG31" s="60"/>
      <c r="AH31" s="55"/>
    </row>
    <row r="32" spans="1:37" x14ac:dyDescent="0.25">
      <c r="Q32" s="34"/>
      <c r="R32" s="34"/>
      <c r="S32" s="34"/>
      <c r="T32" s="34"/>
      <c r="U32" s="56" t="s">
        <v>58</v>
      </c>
      <c r="V32" s="34">
        <v>82</v>
      </c>
      <c r="W32" s="34"/>
    </row>
    <row r="33" spans="2:23" x14ac:dyDescent="0.25">
      <c r="Q33" s="34"/>
      <c r="R33" s="34"/>
      <c r="S33" s="34"/>
      <c r="T33" s="34"/>
      <c r="U33" s="57" t="s">
        <v>59</v>
      </c>
      <c r="V33" s="37">
        <v>10</v>
      </c>
      <c r="W33" s="34"/>
    </row>
    <row r="34" spans="2:23" x14ac:dyDescent="0.25">
      <c r="Q34" s="34"/>
      <c r="R34" s="34"/>
      <c r="S34" s="34"/>
      <c r="T34" s="34"/>
      <c r="U34" s="34"/>
      <c r="W34" s="34"/>
    </row>
    <row r="35" spans="2:23" x14ac:dyDescent="0.25">
      <c r="W35" s="37"/>
    </row>
    <row r="48" spans="2:23" x14ac:dyDescent="0.25">
      <c r="B48" s="33"/>
      <c r="C48" s="33"/>
      <c r="D48" s="33"/>
      <c r="E48" s="33"/>
      <c r="G48" s="33"/>
      <c r="H48" s="33"/>
    </row>
    <row r="49" spans="2:8" x14ac:dyDescent="0.25">
      <c r="B49" s="33"/>
      <c r="C49" s="33"/>
      <c r="D49" s="33"/>
      <c r="E49" s="33"/>
      <c r="F49" s="33"/>
      <c r="G49" s="33"/>
      <c r="H49" s="33"/>
    </row>
  </sheetData>
  <mergeCells count="23">
    <mergeCell ref="AB31:AD31"/>
    <mergeCell ref="AE31:AG31"/>
    <mergeCell ref="AB22:AI22"/>
    <mergeCell ref="AB28:AD28"/>
    <mergeCell ref="AE28:AG28"/>
    <mergeCell ref="AB29:AD29"/>
    <mergeCell ref="AE29:AG29"/>
    <mergeCell ref="AB30:AD30"/>
    <mergeCell ref="AE30:AG30"/>
    <mergeCell ref="AB6:AG6"/>
    <mergeCell ref="B9:G9"/>
    <mergeCell ref="H9:K9"/>
    <mergeCell ref="L9:Q9"/>
    <mergeCell ref="R9:U9"/>
    <mergeCell ref="V9:AA9"/>
    <mergeCell ref="AB9:AI9"/>
    <mergeCell ref="V1:AA1"/>
    <mergeCell ref="J5:K5"/>
    <mergeCell ref="B6:G6"/>
    <mergeCell ref="H6:K6"/>
    <mergeCell ref="L6:Q6"/>
    <mergeCell ref="R6:U6"/>
    <mergeCell ref="V6:AA6"/>
  </mergeCells>
  <conditionalFormatting sqref="AB21:AI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9"/>
  <sheetViews>
    <sheetView zoomScale="85" zoomScaleNormal="85" workbookViewId="0">
      <selection activeCell="N8" sqref="N8"/>
    </sheetView>
  </sheetViews>
  <sheetFormatPr baseColWidth="10" defaultRowHeight="15" x14ac:dyDescent="0.25"/>
  <cols>
    <col min="1" max="1" width="35.140625" bestFit="1" customWidth="1"/>
    <col min="2" max="7" width="6.85546875" customWidth="1"/>
    <col min="8" max="11" width="9.28515625" customWidth="1"/>
    <col min="12" max="17" width="6.42578125" customWidth="1"/>
    <col min="18" max="21" width="8.28515625" customWidth="1"/>
    <col min="22" max="22" width="12.7109375" customWidth="1"/>
    <col min="23" max="23" width="10.28515625" customWidth="1"/>
    <col min="24" max="24" width="7.5703125" customWidth="1"/>
    <col min="25" max="25" width="10.28515625" customWidth="1"/>
    <col min="26" max="26" width="9.42578125" customWidth="1"/>
    <col min="27" max="27" width="7.5703125" customWidth="1"/>
    <col min="28" max="35" width="5.5703125" customWidth="1"/>
    <col min="36" max="36" width="7" customWidth="1"/>
    <col min="37" max="37" width="7.140625" bestFit="1" customWidth="1"/>
  </cols>
  <sheetData>
    <row r="1" spans="1:37" x14ac:dyDescent="0.25">
      <c r="V1" s="45" t="s">
        <v>50</v>
      </c>
      <c r="W1" s="46"/>
      <c r="X1" s="46"/>
      <c r="Y1" s="46"/>
      <c r="Z1" s="46"/>
      <c r="AA1" s="47"/>
    </row>
    <row r="2" spans="1:37" x14ac:dyDescent="0.25">
      <c r="U2" s="1" t="s">
        <v>45</v>
      </c>
      <c r="V2" s="48">
        <v>1</v>
      </c>
      <c r="W2" s="49"/>
      <c r="X2" s="49"/>
      <c r="Y2" s="49"/>
      <c r="Z2" s="49"/>
      <c r="AA2" s="49"/>
    </row>
    <row r="3" spans="1:37" x14ac:dyDescent="0.25">
      <c r="N3" s="3"/>
      <c r="U3" s="1" t="s">
        <v>46</v>
      </c>
      <c r="V3" s="48">
        <v>0.88</v>
      </c>
      <c r="W3" s="49"/>
      <c r="X3" s="49"/>
      <c r="Y3" s="49"/>
      <c r="Z3" s="49"/>
      <c r="AA3" s="48">
        <v>0.12</v>
      </c>
      <c r="AB3" t="s">
        <v>49</v>
      </c>
    </row>
    <row r="4" spans="1:37" x14ac:dyDescent="0.25">
      <c r="U4" s="1" t="s">
        <v>47</v>
      </c>
      <c r="V4" s="48">
        <v>0.32</v>
      </c>
      <c r="W4" s="48">
        <v>0.1</v>
      </c>
      <c r="X4" s="48">
        <v>0.02</v>
      </c>
      <c r="Y4" s="49"/>
      <c r="Z4" s="48">
        <v>0.08</v>
      </c>
      <c r="AA4" s="49"/>
      <c r="AB4" s="2"/>
    </row>
    <row r="5" spans="1:37" x14ac:dyDescent="0.25">
      <c r="I5" s="1" t="s">
        <v>0</v>
      </c>
      <c r="J5" s="5">
        <v>82800000</v>
      </c>
      <c r="K5" s="5"/>
      <c r="U5" s="1" t="s">
        <v>48</v>
      </c>
      <c r="V5" s="48">
        <v>0.25</v>
      </c>
      <c r="W5" s="48">
        <v>0.1</v>
      </c>
      <c r="X5" s="48">
        <v>0.05</v>
      </c>
      <c r="Y5" s="48">
        <v>0.6</v>
      </c>
      <c r="Z5" s="48"/>
      <c r="AA5" s="49"/>
    </row>
    <row r="6" spans="1:37" ht="48" customHeight="1" x14ac:dyDescent="0.25">
      <c r="B6" s="4" t="s">
        <v>39</v>
      </c>
      <c r="C6" s="4"/>
      <c r="D6" s="4"/>
      <c r="E6" s="4"/>
      <c r="F6" s="4"/>
      <c r="G6" s="4"/>
      <c r="H6" s="6" t="s">
        <v>40</v>
      </c>
      <c r="I6" s="7"/>
      <c r="J6" s="7"/>
      <c r="K6" s="8"/>
      <c r="L6" s="16" t="s">
        <v>1</v>
      </c>
      <c r="M6" s="17"/>
      <c r="N6" s="17"/>
      <c r="O6" s="17"/>
      <c r="P6" s="17"/>
      <c r="Q6" s="18"/>
      <c r="R6" s="5" t="s">
        <v>2</v>
      </c>
      <c r="S6" s="5"/>
      <c r="T6" s="5"/>
      <c r="U6" s="5"/>
      <c r="V6" s="4" t="s">
        <v>3</v>
      </c>
      <c r="W6" s="4"/>
      <c r="X6" s="4"/>
      <c r="Y6" s="4"/>
      <c r="Z6" s="4"/>
      <c r="AA6" s="4"/>
      <c r="AB6" s="6" t="s">
        <v>54</v>
      </c>
      <c r="AC6" s="7"/>
      <c r="AD6" s="7"/>
      <c r="AE6" s="7"/>
      <c r="AF6" s="7"/>
      <c r="AG6" s="8"/>
    </row>
    <row r="7" spans="1:37" ht="27.75" customHeight="1" x14ac:dyDescent="0.25">
      <c r="B7" s="41"/>
      <c r="C7" s="41"/>
      <c r="D7" s="41"/>
      <c r="E7" s="41"/>
      <c r="F7" s="41"/>
      <c r="G7" s="41"/>
      <c r="H7" s="43">
        <v>507</v>
      </c>
      <c r="I7" s="43">
        <v>310</v>
      </c>
      <c r="J7" s="43">
        <v>258</v>
      </c>
      <c r="K7" s="43">
        <v>312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1"/>
      <c r="AA7" s="41"/>
      <c r="AB7" s="43">
        <v>13</v>
      </c>
      <c r="AC7" s="43">
        <v>25</v>
      </c>
      <c r="AD7" s="43">
        <v>20</v>
      </c>
      <c r="AE7" s="43">
        <v>25</v>
      </c>
      <c r="AF7" s="43">
        <v>25</v>
      </c>
      <c r="AG7" s="43">
        <v>280</v>
      </c>
    </row>
    <row r="8" spans="1:37" ht="200.25" customHeight="1" x14ac:dyDescent="0.25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5</v>
      </c>
      <c r="I8" s="10" t="s">
        <v>6</v>
      </c>
      <c r="J8" s="10" t="s">
        <v>7</v>
      </c>
      <c r="K8" s="10" t="s">
        <v>8</v>
      </c>
      <c r="L8" s="38" t="s">
        <v>11</v>
      </c>
      <c r="M8" s="39" t="s">
        <v>41</v>
      </c>
      <c r="N8" s="39" t="s">
        <v>64</v>
      </c>
      <c r="O8" s="39" t="s">
        <v>42</v>
      </c>
      <c r="P8" s="38" t="s">
        <v>12</v>
      </c>
      <c r="Q8" s="39" t="s">
        <v>43</v>
      </c>
      <c r="R8" s="10" t="s">
        <v>5</v>
      </c>
      <c r="S8" s="10" t="s">
        <v>44</v>
      </c>
      <c r="T8" s="10" t="s">
        <v>7</v>
      </c>
      <c r="U8" s="10" t="s">
        <v>8</v>
      </c>
      <c r="V8" s="50" t="s">
        <v>63</v>
      </c>
      <c r="W8" s="12" t="s">
        <v>51</v>
      </c>
      <c r="X8" s="11" t="s">
        <v>14</v>
      </c>
      <c r="Y8" s="12" t="s">
        <v>15</v>
      </c>
      <c r="Z8" s="12" t="s">
        <v>52</v>
      </c>
      <c r="AA8" s="11" t="s">
        <v>17</v>
      </c>
      <c r="AB8" s="50" t="s">
        <v>5</v>
      </c>
      <c r="AC8" s="12" t="s">
        <v>13</v>
      </c>
      <c r="AD8" s="11" t="s">
        <v>14</v>
      </c>
      <c r="AE8" s="12" t="s">
        <v>53</v>
      </c>
      <c r="AF8" s="12" t="s">
        <v>16</v>
      </c>
      <c r="AG8" s="11" t="s">
        <v>17</v>
      </c>
      <c r="AH8" s="10" t="s">
        <v>9</v>
      </c>
      <c r="AI8" s="10" t="s">
        <v>10</v>
      </c>
      <c r="AK8" s="51" t="s">
        <v>55</v>
      </c>
    </row>
    <row r="9" spans="1:37" x14ac:dyDescent="0.25">
      <c r="A9" s="9"/>
      <c r="B9" s="13" t="s">
        <v>18</v>
      </c>
      <c r="C9" s="14"/>
      <c r="D9" s="14"/>
      <c r="E9" s="14"/>
      <c r="F9" s="14"/>
      <c r="G9" s="15"/>
      <c r="H9" s="5" t="s">
        <v>19</v>
      </c>
      <c r="I9" s="5"/>
      <c r="J9" s="5"/>
      <c r="K9" s="5"/>
      <c r="L9" s="16" t="s">
        <v>20</v>
      </c>
      <c r="M9" s="17"/>
      <c r="N9" s="17"/>
      <c r="O9" s="17"/>
      <c r="P9" s="17"/>
      <c r="Q9" s="18"/>
      <c r="R9" s="5" t="s">
        <v>19</v>
      </c>
      <c r="S9" s="5"/>
      <c r="T9" s="5"/>
      <c r="U9" s="5"/>
      <c r="V9" s="16" t="s">
        <v>21</v>
      </c>
      <c r="W9" s="17"/>
      <c r="X9" s="17"/>
      <c r="Y9" s="17"/>
      <c r="Z9" s="17"/>
      <c r="AA9" s="18"/>
      <c r="AB9" s="19" t="s">
        <v>18</v>
      </c>
      <c r="AC9" s="19"/>
      <c r="AD9" s="19"/>
      <c r="AE9" s="19"/>
      <c r="AF9" s="19"/>
      <c r="AG9" s="19"/>
      <c r="AH9" s="19"/>
      <c r="AI9" s="19"/>
      <c r="AK9" s="52"/>
    </row>
    <row r="10" spans="1:37" x14ac:dyDescent="0.25">
      <c r="A10" s="20" t="s">
        <v>22</v>
      </c>
      <c r="B10" s="21">
        <v>0.32400000000000001</v>
      </c>
      <c r="C10" s="21">
        <v>0.14400000000000002</v>
      </c>
      <c r="D10" s="21">
        <v>7.2000000000000008E-2</v>
      </c>
      <c r="E10" s="21">
        <v>0.14400000000000002</v>
      </c>
      <c r="F10" s="21">
        <v>1.0620000000000001</v>
      </c>
      <c r="G10" s="21">
        <v>5.3999999999999999E-2</v>
      </c>
      <c r="H10" s="22">
        <f>B10*$J$5/(H$7/1000000)/1000000000</f>
        <v>52.913609467455629</v>
      </c>
      <c r="I10" s="22">
        <f>C10*$J$5/(I$7/1000000)/1000000000</f>
        <v>38.461935483870974</v>
      </c>
      <c r="J10" s="22">
        <f>D10*$J$5/(J$7/1000000)/1000000000</f>
        <v>23.106976744186049</v>
      </c>
      <c r="K10" s="22">
        <f>E10*$J$5/(K$7/1000000)/1000000000</f>
        <v>38.215384615384622</v>
      </c>
      <c r="L10" s="23">
        <v>0.56000000000000005</v>
      </c>
      <c r="M10" s="23">
        <v>1</v>
      </c>
      <c r="N10" s="23">
        <v>1</v>
      </c>
      <c r="O10" s="23">
        <v>1</v>
      </c>
      <c r="P10" s="23">
        <v>1</v>
      </c>
      <c r="Q10" s="23">
        <v>1</v>
      </c>
      <c r="R10" s="44">
        <f>H10*$L10*M10*$Q10</f>
        <v>29.631621301775155</v>
      </c>
      <c r="S10" s="44">
        <f t="shared" ref="S10:U20" si="0">I10*$L10*N10*$Q10</f>
        <v>21.538683870967748</v>
      </c>
      <c r="T10" s="44">
        <f t="shared" si="0"/>
        <v>12.939906976744188</v>
      </c>
      <c r="U10" s="44">
        <f t="shared" si="0"/>
        <v>21.400615384615389</v>
      </c>
      <c r="V10" s="22">
        <f>($R10*V$2+$S10*V$3+$T10*V$4+$U10*V$5)*1.14</f>
        <v>66.207309393110179</v>
      </c>
      <c r="W10" s="22">
        <f>($R10*W$2+$S10*W$3+$T10*W$4+$U10*W$5)*1.1</f>
        <v>3.7774574597495545</v>
      </c>
      <c r="X10" s="22">
        <f>$R10*X$2+$S10*X$3+$T10*X$4+$U10*X$5</f>
        <v>1.3288289087656533</v>
      </c>
      <c r="Y10" s="22">
        <f t="shared" ref="Y10:Y20" si="1">($R10*Y$2+$S10*Y$3+$T10*Y$4+$U10*Y$5)</f>
        <v>12.840369230769232</v>
      </c>
      <c r="Z10" s="22">
        <f t="shared" ref="Z10:Z20" si="2">($R10*Z$2+$S10*Z$3+$T10*Z$4+$U10*Z$5)*1.12</f>
        <v>1.1594156651162795</v>
      </c>
      <c r="AA10" s="22">
        <f>$R10*AA$2+$S10*AA$3+$T10*AA$4+$U10*AA$5</f>
        <v>2.5846420645161299</v>
      </c>
      <c r="AB10" s="21">
        <f>V10/$J$5*1000000000*AB$7/1000000</f>
        <v>1.0394867416792661E-2</v>
      </c>
      <c r="AC10" s="21">
        <f>W10/$J$5*1000000000*AC$7/1000000</f>
        <v>1.1405366726296967E-3</v>
      </c>
      <c r="AD10" s="21">
        <f>X10/$J$5*1000000000*AD$7/1000000</f>
        <v>3.2097316636851532E-4</v>
      </c>
      <c r="AE10" s="21">
        <f>Y10/$J$5*1000000000*AE$7/1000000</f>
        <v>3.8769230769230773E-3</v>
      </c>
      <c r="AF10" s="21">
        <f>Z10/$J$5*1000000000*AF$7/1000000</f>
        <v>3.5006511627906991E-4</v>
      </c>
      <c r="AG10" s="21">
        <f>AA10/$J$5*1000000000*AG$7/1000000</f>
        <v>8.7403354838709712E-3</v>
      </c>
      <c r="AH10" s="25">
        <f>F10*$L10*Q10</f>
        <v>0.59472000000000014</v>
      </c>
      <c r="AI10" s="25">
        <f t="shared" ref="AI10:AI20" si="3">G10*$L10*N$18</f>
        <v>3.0240000000000003E-2</v>
      </c>
      <c r="AK10" s="53">
        <f>SUM(AB10:AI10)</f>
        <v>0.64978370093286419</v>
      </c>
    </row>
    <row r="11" spans="1:37" x14ac:dyDescent="0.25">
      <c r="A11" s="9" t="s">
        <v>23</v>
      </c>
      <c r="B11" s="21">
        <v>5.6999999999999995E-2</v>
      </c>
      <c r="C11" s="21">
        <v>0.1</v>
      </c>
      <c r="D11" s="21">
        <v>1.56</v>
      </c>
      <c r="E11" s="21">
        <v>0.19</v>
      </c>
      <c r="F11" s="21">
        <v>0</v>
      </c>
      <c r="G11" s="21">
        <v>0</v>
      </c>
      <c r="H11" s="22">
        <f>B11*$J$5/(H$7/1000000)/1000000000</f>
        <v>9.3088757396449715</v>
      </c>
      <c r="I11" s="22">
        <f>C11*$J$5/(I$7/1000000)/1000000000</f>
        <v>26.70967741935484</v>
      </c>
      <c r="J11" s="22">
        <f>D11*$J$5/(J$7/1000000)/1000000000</f>
        <v>500.6511627906977</v>
      </c>
      <c r="K11" s="22">
        <f>E11*$J$5/(K$7/1000000)/1000000000</f>
        <v>50.423076923076927</v>
      </c>
      <c r="L11" s="23">
        <v>0.95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44">
        <f t="shared" ref="R11:R20" si="4">H11*$L11*M11*$Q11</f>
        <v>8.8434319526627228</v>
      </c>
      <c r="S11" s="44">
        <f t="shared" si="0"/>
        <v>25.374193548387098</v>
      </c>
      <c r="T11" s="44">
        <f t="shared" si="0"/>
        <v>475.6186046511628</v>
      </c>
      <c r="U11" s="44">
        <f t="shared" si="0"/>
        <v>47.901923076923076</v>
      </c>
      <c r="V11" s="22">
        <f t="shared" ref="V11:V17" si="5">($R11*V$2+$S11*V$3+$T11*V$4+$U11*V$5)*1.14</f>
        <v>222.69461844744467</v>
      </c>
      <c r="W11" s="22">
        <f t="shared" ref="W11:W20" si="6">($R11*W$2+$S11*W$3+$T11*W$4+$U11*W$5)*1.1</f>
        <v>57.587258050089453</v>
      </c>
      <c r="X11" s="22">
        <f t="shared" ref="X11:X20" si="7">$R11*X$2+$S11*X$3+$T11*X$4+$U11*X$5</f>
        <v>11.90746824686941</v>
      </c>
      <c r="Y11" s="22">
        <f t="shared" si="1"/>
        <v>28.741153846153846</v>
      </c>
      <c r="Z11" s="22">
        <f t="shared" si="2"/>
        <v>42.615426976744189</v>
      </c>
      <c r="AA11" s="22">
        <f t="shared" ref="AA11:AA20" si="8">$R11*AA$2+$S11*AA$3+$T11*AA$4+$U11*AA$5</f>
        <v>3.0449032258064515</v>
      </c>
      <c r="AB11" s="21">
        <f t="shared" ref="AB11:AG20" si="9">V11/$J$5*1000000000*AB$7/1000000</f>
        <v>3.4964130915661605E-2</v>
      </c>
      <c r="AC11" s="21">
        <f t="shared" si="9"/>
        <v>1.7387457140727494E-2</v>
      </c>
      <c r="AD11" s="21">
        <f t="shared" si="9"/>
        <v>2.8762000596302922E-3</v>
      </c>
      <c r="AE11" s="21">
        <f t="shared" si="9"/>
        <v>8.6778846153846151E-3</v>
      </c>
      <c r="AF11" s="21">
        <f t="shared" si="9"/>
        <v>1.2866976744186048E-2</v>
      </c>
      <c r="AG11" s="21">
        <f t="shared" si="9"/>
        <v>1.0296774193548387E-2</v>
      </c>
      <c r="AH11" s="21">
        <v>0</v>
      </c>
      <c r="AI11" s="25">
        <f t="shared" si="3"/>
        <v>0</v>
      </c>
      <c r="AK11" s="53">
        <f t="shared" ref="AK11:AK21" si="10">SUM(AB11:AI11)</f>
        <v>8.7069423669138446E-2</v>
      </c>
    </row>
    <row r="12" spans="1:37" ht="30" x14ac:dyDescent="0.25">
      <c r="A12" s="9" t="s">
        <v>24</v>
      </c>
      <c r="B12" s="21">
        <v>0.76</v>
      </c>
      <c r="C12" s="21">
        <v>0.44</v>
      </c>
      <c r="D12" s="21">
        <v>0.51</v>
      </c>
      <c r="E12" s="21">
        <v>0.13</v>
      </c>
      <c r="F12" s="21">
        <v>0</v>
      </c>
      <c r="G12" s="21">
        <v>0.06</v>
      </c>
      <c r="H12" s="22">
        <f>B12*$J$5/(H$7/1000000)/1000000000</f>
        <v>124.11834319526628</v>
      </c>
      <c r="I12" s="22">
        <f>C12*$J$5/(I$7/1000000)/1000000000</f>
        <v>117.52258064516128</v>
      </c>
      <c r="J12" s="22">
        <f>D12*$J$5/(J$7/1000000)/1000000000</f>
        <v>163.67441860465118</v>
      </c>
      <c r="K12" s="22">
        <f>E12*$J$5/(K$7/1000000)/1000000000</f>
        <v>34.5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44">
        <f t="shared" si="4"/>
        <v>124.11834319526628</v>
      </c>
      <c r="S12" s="44">
        <f t="shared" si="0"/>
        <v>117.52258064516128</v>
      </c>
      <c r="T12" s="44">
        <f t="shared" si="0"/>
        <v>163.67441860465118</v>
      </c>
      <c r="U12" s="44">
        <f t="shared" si="0"/>
        <v>34.5</v>
      </c>
      <c r="V12" s="22">
        <f t="shared" si="5"/>
        <v>328.93449205280609</v>
      </c>
      <c r="W12" s="22">
        <f t="shared" si="6"/>
        <v>21.799186046511629</v>
      </c>
      <c r="X12" s="22">
        <f t="shared" si="7"/>
        <v>4.9984883720930231</v>
      </c>
      <c r="Y12" s="22">
        <f t="shared" si="1"/>
        <v>20.7</v>
      </c>
      <c r="Z12" s="22">
        <f t="shared" si="2"/>
        <v>14.665227906976746</v>
      </c>
      <c r="AA12" s="22">
        <f t="shared" si="8"/>
        <v>14.102709677419353</v>
      </c>
      <c r="AB12" s="21">
        <f t="shared" si="9"/>
        <v>5.1644304307807719E-2</v>
      </c>
      <c r="AC12" s="21">
        <f t="shared" si="9"/>
        <v>6.5818798449612404E-3</v>
      </c>
      <c r="AD12" s="21">
        <f t="shared" si="9"/>
        <v>1.2073643410852712E-3</v>
      </c>
      <c r="AE12" s="21">
        <f t="shared" si="9"/>
        <v>6.2500000000000003E-3</v>
      </c>
      <c r="AF12" s="21">
        <f t="shared" si="9"/>
        <v>4.4279069767441869E-3</v>
      </c>
      <c r="AG12" s="21">
        <f t="shared" si="9"/>
        <v>4.7690322580645157E-2</v>
      </c>
      <c r="AH12" s="21">
        <v>0</v>
      </c>
      <c r="AI12" s="25">
        <f t="shared" si="3"/>
        <v>0.06</v>
      </c>
      <c r="AK12" s="53">
        <f t="shared" si="10"/>
        <v>0.17780177805124356</v>
      </c>
    </row>
    <row r="13" spans="1:37" x14ac:dyDescent="0.25">
      <c r="A13" s="20" t="s">
        <v>25</v>
      </c>
      <c r="B13" s="21">
        <v>4.4999999999999998E-2</v>
      </c>
      <c r="C13" s="21">
        <v>1.4550000000000001</v>
      </c>
      <c r="D13" s="21">
        <v>0</v>
      </c>
      <c r="E13" s="21">
        <v>0</v>
      </c>
      <c r="F13" s="21">
        <v>0</v>
      </c>
      <c r="G13" s="21">
        <v>0</v>
      </c>
      <c r="H13" s="22">
        <f>B13*$J$5/(H$7/1000000)/1000000000</f>
        <v>7.3491124260355036</v>
      </c>
      <c r="I13" s="22">
        <f>C13*$J$5/(I$7/1000000)/1000000000</f>
        <v>388.6258064516129</v>
      </c>
      <c r="J13" s="22">
        <f>D13*$J$5/(J$7/1000000)/1000000000</f>
        <v>0</v>
      </c>
      <c r="K13" s="22">
        <f>E13*$J$5/(K$7/1000000)/1000000000</f>
        <v>0</v>
      </c>
      <c r="L13" s="23">
        <v>0.5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44">
        <f t="shared" si="4"/>
        <v>3.6745562130177518</v>
      </c>
      <c r="S13" s="44">
        <f t="shared" si="0"/>
        <v>194.31290322580645</v>
      </c>
      <c r="T13" s="44">
        <f t="shared" si="0"/>
        <v>0</v>
      </c>
      <c r="U13" s="44">
        <f t="shared" si="0"/>
        <v>0</v>
      </c>
      <c r="V13" s="22">
        <f t="shared" si="5"/>
        <v>199.12369859896927</v>
      </c>
      <c r="W13" s="22">
        <f t="shared" si="6"/>
        <v>0</v>
      </c>
      <c r="X13" s="22">
        <f t="shared" si="7"/>
        <v>0</v>
      </c>
      <c r="Y13" s="22">
        <f t="shared" si="1"/>
        <v>0</v>
      </c>
      <c r="Z13" s="22">
        <f t="shared" si="2"/>
        <v>0</v>
      </c>
      <c r="AA13" s="22">
        <f t="shared" si="8"/>
        <v>23.317548387096775</v>
      </c>
      <c r="AB13" s="21">
        <f t="shared" si="9"/>
        <v>3.1263382630272951E-2</v>
      </c>
      <c r="AC13" s="21">
        <f t="shared" si="9"/>
        <v>0</v>
      </c>
      <c r="AD13" s="21">
        <f t="shared" si="9"/>
        <v>0</v>
      </c>
      <c r="AE13" s="21">
        <f t="shared" si="9"/>
        <v>0</v>
      </c>
      <c r="AF13" s="21">
        <f t="shared" si="9"/>
        <v>0</v>
      </c>
      <c r="AG13" s="21">
        <f t="shared" si="9"/>
        <v>7.8851612903225801E-2</v>
      </c>
      <c r="AH13" s="21">
        <v>0</v>
      </c>
      <c r="AI13" s="25">
        <f t="shared" si="3"/>
        <v>0</v>
      </c>
      <c r="AK13" s="53">
        <f t="shared" si="10"/>
        <v>0.11011499553349875</v>
      </c>
    </row>
    <row r="14" spans="1:37" x14ac:dyDescent="0.25">
      <c r="A14" s="9" t="s">
        <v>26</v>
      </c>
      <c r="B14" s="21">
        <v>0.46</v>
      </c>
      <c r="C14" s="21">
        <v>0.16500000000000001</v>
      </c>
      <c r="D14" s="21">
        <v>0.06</v>
      </c>
      <c r="E14" s="21">
        <v>0.77</v>
      </c>
      <c r="F14" s="21">
        <v>0</v>
      </c>
      <c r="G14" s="21">
        <v>0.04</v>
      </c>
      <c r="H14" s="22">
        <f>B14*$J$5/(H$7/1000000)/1000000000</f>
        <v>75.124260355029591</v>
      </c>
      <c r="I14" s="22">
        <f>C14*$J$5/(I$7/1000000)/1000000000</f>
        <v>44.070967741935483</v>
      </c>
      <c r="J14" s="22">
        <f>D14*$J$5/(J$7/1000000)/1000000000</f>
        <v>19.255813953488374</v>
      </c>
      <c r="K14" s="22">
        <f>E14*$J$5/(K$7/1000000)/1000000000</f>
        <v>204.34615384615384</v>
      </c>
      <c r="L14" s="23">
        <v>0.67</v>
      </c>
      <c r="M14" s="23">
        <v>1</v>
      </c>
      <c r="N14" s="23">
        <v>1</v>
      </c>
      <c r="O14" s="23">
        <v>1</v>
      </c>
      <c r="P14" s="23">
        <v>1</v>
      </c>
      <c r="Q14" s="23">
        <v>1</v>
      </c>
      <c r="R14" s="44">
        <f t="shared" si="4"/>
        <v>50.333254437869826</v>
      </c>
      <c r="S14" s="44">
        <f t="shared" si="0"/>
        <v>29.527548387096775</v>
      </c>
      <c r="T14" s="44">
        <f t="shared" si="0"/>
        <v>12.901395348837212</v>
      </c>
      <c r="U14" s="44">
        <f t="shared" si="0"/>
        <v>136.91192307692307</v>
      </c>
      <c r="V14" s="22">
        <f t="shared" si="5"/>
        <v>130.72827370128596</v>
      </c>
      <c r="W14" s="22">
        <f t="shared" si="6"/>
        <v>16.479465026833633</v>
      </c>
      <c r="X14" s="22">
        <f t="shared" si="7"/>
        <v>7.1036240608228987</v>
      </c>
      <c r="Y14" s="22">
        <f t="shared" si="1"/>
        <v>82.147153846153842</v>
      </c>
      <c r="Z14" s="22">
        <f t="shared" si="2"/>
        <v>1.1559650232558145</v>
      </c>
      <c r="AA14" s="22">
        <f t="shared" si="8"/>
        <v>3.5433058064516127</v>
      </c>
      <c r="AB14" s="21">
        <f t="shared" si="9"/>
        <v>2.0524970508656006E-2</v>
      </c>
      <c r="AC14" s="21">
        <f t="shared" si="9"/>
        <v>4.9756838849135364E-3</v>
      </c>
      <c r="AD14" s="21">
        <f t="shared" si="9"/>
        <v>1.7158512224209901E-3</v>
      </c>
      <c r="AE14" s="21">
        <f t="shared" si="9"/>
        <v>2.4802884615384612E-2</v>
      </c>
      <c r="AF14" s="21">
        <f t="shared" si="9"/>
        <v>3.4902325581395363E-4</v>
      </c>
      <c r="AG14" s="21">
        <f t="shared" si="9"/>
        <v>1.1982193548387095E-2</v>
      </c>
      <c r="AH14" s="21">
        <v>0</v>
      </c>
      <c r="AI14" s="25">
        <f t="shared" si="3"/>
        <v>2.6800000000000001E-2</v>
      </c>
      <c r="AK14" s="53">
        <f t="shared" si="10"/>
        <v>9.1150607035576189E-2</v>
      </c>
    </row>
    <row r="15" spans="1:37" x14ac:dyDescent="0.25">
      <c r="A15" s="20" t="s">
        <v>27</v>
      </c>
      <c r="B15" s="21">
        <v>0.17</v>
      </c>
      <c r="C15" s="21">
        <v>0.04</v>
      </c>
      <c r="D15" s="21">
        <v>7.0000000000000007E-2</v>
      </c>
      <c r="E15" s="21">
        <v>0.03</v>
      </c>
      <c r="F15" s="21">
        <v>0</v>
      </c>
      <c r="G15" s="21">
        <v>0</v>
      </c>
      <c r="H15" s="22">
        <f>B15*$J$5/(H$7/1000000)/1000000000</f>
        <v>27.76331360946746</v>
      </c>
      <c r="I15" s="22">
        <f>C15*$J$5/(I$7/1000000)/1000000000</f>
        <v>10.683870967741935</v>
      </c>
      <c r="J15" s="22">
        <f>D15*$J$5/(J$7/1000000)/1000000000</f>
        <v>22.465116279069772</v>
      </c>
      <c r="K15" s="22">
        <f>E15*$J$5/(K$7/1000000)/1000000000</f>
        <v>7.9615384615384617</v>
      </c>
      <c r="L15" s="23">
        <v>0.67</v>
      </c>
      <c r="M15" s="23">
        <v>1</v>
      </c>
      <c r="N15" s="23">
        <v>1</v>
      </c>
      <c r="O15" s="23">
        <v>1</v>
      </c>
      <c r="P15" s="23">
        <v>1</v>
      </c>
      <c r="Q15" s="23">
        <v>1</v>
      </c>
      <c r="R15" s="44">
        <f t="shared" si="4"/>
        <v>18.601420118343199</v>
      </c>
      <c r="S15" s="44">
        <f t="shared" si="0"/>
        <v>7.1581935483870973</v>
      </c>
      <c r="T15" s="44">
        <f t="shared" si="0"/>
        <v>15.051627906976748</v>
      </c>
      <c r="U15" s="44">
        <f t="shared" si="0"/>
        <v>5.3342307692307696</v>
      </c>
      <c r="V15" s="22">
        <f t="shared" si="5"/>
        <v>35.397808332349065</v>
      </c>
      <c r="W15" s="22">
        <f t="shared" si="6"/>
        <v>2.2424444543828268</v>
      </c>
      <c r="X15" s="22">
        <f t="shared" si="7"/>
        <v>0.56774409660107339</v>
      </c>
      <c r="Y15" s="22">
        <f t="shared" si="1"/>
        <v>3.2005384615384616</v>
      </c>
      <c r="Z15" s="22">
        <f t="shared" si="2"/>
        <v>1.3486258604651167</v>
      </c>
      <c r="AA15" s="22">
        <f t="shared" si="8"/>
        <v>0.8589832258064517</v>
      </c>
      <c r="AB15" s="21">
        <f t="shared" si="9"/>
        <v>5.5576269120837908E-3</v>
      </c>
      <c r="AC15" s="21">
        <f t="shared" si="9"/>
        <v>6.7706656231365531E-4</v>
      </c>
      <c r="AD15" s="21">
        <f t="shared" si="9"/>
        <v>1.3713625521765058E-4</v>
      </c>
      <c r="AE15" s="21">
        <f t="shared" si="9"/>
        <v>9.6634615384615379E-4</v>
      </c>
      <c r="AF15" s="21">
        <f t="shared" si="9"/>
        <v>4.0719379844961245E-4</v>
      </c>
      <c r="AG15" s="21">
        <f t="shared" si="9"/>
        <v>2.9047741935483871E-3</v>
      </c>
      <c r="AH15" s="21">
        <v>0</v>
      </c>
      <c r="AI15" s="25">
        <f t="shared" si="3"/>
        <v>0</v>
      </c>
      <c r="AK15" s="53">
        <f t="shared" si="10"/>
        <v>1.0650143875459249E-2</v>
      </c>
    </row>
    <row r="16" spans="1:37" x14ac:dyDescent="0.25">
      <c r="A16" s="20" t="s">
        <v>28</v>
      </c>
      <c r="B16" s="21">
        <v>0.53</v>
      </c>
      <c r="C16" s="21">
        <v>0.11</v>
      </c>
      <c r="D16" s="21">
        <v>0.09</v>
      </c>
      <c r="E16" s="21">
        <v>0.14000000000000001</v>
      </c>
      <c r="F16" s="21">
        <v>0</v>
      </c>
      <c r="G16" s="21">
        <v>0.03</v>
      </c>
      <c r="H16" s="22">
        <f>B16*$J$5/(H$7/1000000)/1000000000</f>
        <v>86.556213017751475</v>
      </c>
      <c r="I16" s="22">
        <f>C16*$J$5/(I$7/1000000)/1000000000</f>
        <v>29.380645161290321</v>
      </c>
      <c r="J16" s="22">
        <f>D16*$J$5/(J$7/1000000)/1000000000</f>
        <v>28.88372093023256</v>
      </c>
      <c r="K16" s="22">
        <f>E16*$J$5/(K$7/1000000)/1000000000</f>
        <v>37.15384615384616</v>
      </c>
      <c r="L16" s="23">
        <v>0.67</v>
      </c>
      <c r="M16" s="23">
        <v>1</v>
      </c>
      <c r="N16" s="23">
        <v>1</v>
      </c>
      <c r="O16" s="23">
        <v>1</v>
      </c>
      <c r="P16" s="23">
        <v>1</v>
      </c>
      <c r="Q16" s="23">
        <v>1</v>
      </c>
      <c r="R16" s="44">
        <f t="shared" si="4"/>
        <v>57.992662721893488</v>
      </c>
      <c r="S16" s="44">
        <f t="shared" si="0"/>
        <v>19.685032258064517</v>
      </c>
      <c r="T16" s="44">
        <f t="shared" si="0"/>
        <v>19.352093023255815</v>
      </c>
      <c r="U16" s="44">
        <f t="shared" si="0"/>
        <v>24.893076923076929</v>
      </c>
      <c r="V16" s="22">
        <f t="shared" si="5"/>
        <v>100.01383032220953</v>
      </c>
      <c r="W16" s="22">
        <f t="shared" si="6"/>
        <v>4.8669686940966033</v>
      </c>
      <c r="X16" s="22">
        <f t="shared" si="7"/>
        <v>1.6316957066189628</v>
      </c>
      <c r="Y16" s="22">
        <f t="shared" si="1"/>
        <v>14.935846153846157</v>
      </c>
      <c r="Z16" s="22">
        <f t="shared" si="2"/>
        <v>1.7339475348837212</v>
      </c>
      <c r="AA16" s="22">
        <f t="shared" si="8"/>
        <v>2.362203870967742</v>
      </c>
      <c r="AB16" s="21">
        <f t="shared" si="9"/>
        <v>1.5702654519187488E-2</v>
      </c>
      <c r="AC16" s="21">
        <f t="shared" si="9"/>
        <v>1.4694953786523561E-3</v>
      </c>
      <c r="AD16" s="21">
        <f t="shared" si="9"/>
        <v>3.9412939773404899E-4</v>
      </c>
      <c r="AE16" s="21">
        <f t="shared" si="9"/>
        <v>4.5096153846153854E-3</v>
      </c>
      <c r="AF16" s="21">
        <f t="shared" si="9"/>
        <v>5.2353488372093029E-4</v>
      </c>
      <c r="AG16" s="21">
        <f t="shared" si="9"/>
        <v>7.9881290322580643E-3</v>
      </c>
      <c r="AH16" s="21">
        <v>0</v>
      </c>
      <c r="AI16" s="25">
        <f t="shared" si="3"/>
        <v>2.01E-2</v>
      </c>
      <c r="AK16" s="53">
        <f t="shared" si="10"/>
        <v>5.0687558596168275E-2</v>
      </c>
    </row>
    <row r="17" spans="1:37" x14ac:dyDescent="0.25">
      <c r="A17" s="20" t="s">
        <v>29</v>
      </c>
      <c r="B17" s="21">
        <v>0.13</v>
      </c>
      <c r="C17" s="21">
        <v>0.06</v>
      </c>
      <c r="D17" s="21">
        <v>2.4E-2</v>
      </c>
      <c r="E17" s="21">
        <v>0.37</v>
      </c>
      <c r="F17" s="21">
        <v>0</v>
      </c>
      <c r="G17" s="21">
        <v>0.02</v>
      </c>
      <c r="H17" s="22">
        <f>B17*$J$5/(H$7/1000000)/1000000000</f>
        <v>21.230769230769234</v>
      </c>
      <c r="I17" s="22">
        <f>C17*$J$5/(I$7/1000000)/1000000000</f>
        <v>16.025806451612905</v>
      </c>
      <c r="J17" s="22">
        <f>D17*$J$5/(J$7/1000000)/1000000000</f>
        <v>7.7023255813953497</v>
      </c>
      <c r="K17" s="22">
        <f>E17*$J$5/(K$7/1000000)/1000000000</f>
        <v>98.192307692307693</v>
      </c>
      <c r="L17" s="23">
        <v>0.5</v>
      </c>
      <c r="M17" s="23">
        <v>1</v>
      </c>
      <c r="N17" s="23">
        <v>1</v>
      </c>
      <c r="O17" s="23">
        <v>1</v>
      </c>
      <c r="P17" s="23">
        <v>1</v>
      </c>
      <c r="Q17" s="23">
        <v>1</v>
      </c>
      <c r="R17" s="44">
        <f t="shared" si="4"/>
        <v>10.615384615384617</v>
      </c>
      <c r="S17" s="44">
        <f t="shared" si="0"/>
        <v>8.0129032258064523</v>
      </c>
      <c r="T17" s="44">
        <f t="shared" si="0"/>
        <v>3.8511627906976749</v>
      </c>
      <c r="U17" s="44">
        <f t="shared" si="0"/>
        <v>49.096153846153847</v>
      </c>
      <c r="V17" s="22">
        <f t="shared" si="5"/>
        <v>35.537391009867846</v>
      </c>
      <c r="W17" s="22">
        <f t="shared" si="6"/>
        <v>5.8242048300536684</v>
      </c>
      <c r="X17" s="22">
        <f t="shared" si="7"/>
        <v>2.5318309481216463</v>
      </c>
      <c r="Y17" s="22">
        <f t="shared" si="1"/>
        <v>29.457692307692305</v>
      </c>
      <c r="Z17" s="22">
        <f t="shared" si="2"/>
        <v>0.34506418604651173</v>
      </c>
      <c r="AA17" s="22">
        <f t="shared" si="8"/>
        <v>0.96154838709677426</v>
      </c>
      <c r="AB17" s="21">
        <f t="shared" si="9"/>
        <v>5.579542066766691E-3</v>
      </c>
      <c r="AC17" s="21">
        <f t="shared" si="9"/>
        <v>1.7585159511031606E-3</v>
      </c>
      <c r="AD17" s="21">
        <f t="shared" si="9"/>
        <v>6.1155336911150875E-4</v>
      </c>
      <c r="AE17" s="21">
        <f t="shared" si="9"/>
        <v>8.8942307692307671E-3</v>
      </c>
      <c r="AF17" s="21">
        <f t="shared" si="9"/>
        <v>1.0418604651162792E-4</v>
      </c>
      <c r="AG17" s="21">
        <f t="shared" si="9"/>
        <v>3.2516129032258063E-3</v>
      </c>
      <c r="AH17" s="21">
        <v>0</v>
      </c>
      <c r="AI17" s="25">
        <f t="shared" si="3"/>
        <v>0.01</v>
      </c>
      <c r="AK17" s="53">
        <f t="shared" si="10"/>
        <v>3.0199641105949561E-2</v>
      </c>
    </row>
    <row r="18" spans="1:37" x14ac:dyDescent="0.25">
      <c r="A18" s="9" t="s">
        <v>30</v>
      </c>
      <c r="B18" s="21">
        <v>1.2E-2</v>
      </c>
      <c r="C18" s="21">
        <v>0.21</v>
      </c>
      <c r="D18" s="21">
        <v>6.0000000000000001E-3</v>
      </c>
      <c r="E18" s="21">
        <v>1.7999999999999999E-2</v>
      </c>
      <c r="F18" s="21">
        <v>0</v>
      </c>
      <c r="G18" s="21">
        <v>0.35</v>
      </c>
      <c r="H18" s="22">
        <f>B18*$J$5/(H$7/1000000)/1000000000</f>
        <v>1.9597633136094674</v>
      </c>
      <c r="I18" s="22">
        <f>C18*$J$5/(I$7/1000000)/1000000000</f>
        <v>56.090322580645164</v>
      </c>
      <c r="J18" s="22">
        <f>D18*$J$5/(J$7/1000000)/1000000000</f>
        <v>1.9255813953488374</v>
      </c>
      <c r="K18" s="22">
        <f>E18*$J$5/(K$7/1000000)/1000000000</f>
        <v>4.7769230769230768</v>
      </c>
      <c r="L18" s="23">
        <v>0.5</v>
      </c>
      <c r="M18" s="23">
        <v>1</v>
      </c>
      <c r="N18" s="23">
        <v>1</v>
      </c>
      <c r="O18" s="23">
        <v>1</v>
      </c>
      <c r="P18" s="23">
        <v>1</v>
      </c>
      <c r="Q18" s="23">
        <v>1</v>
      </c>
      <c r="R18" s="44">
        <f t="shared" si="4"/>
        <v>0.97988165680473371</v>
      </c>
      <c r="S18" s="44">
        <f t="shared" si="0"/>
        <v>28.045161290322582</v>
      </c>
      <c r="T18" s="44">
        <f t="shared" si="0"/>
        <v>0.96279069767441872</v>
      </c>
      <c r="U18" s="44">
        <f t="shared" si="0"/>
        <v>2.3884615384615384</v>
      </c>
      <c r="V18" s="22">
        <f>($R18*V$2+0+$T18*V$4+$U18*V$5)*1.14</f>
        <v>2.1490026737305623</v>
      </c>
      <c r="W18" s="22">
        <f t="shared" si="6"/>
        <v>0.36863774597495536</v>
      </c>
      <c r="X18" s="22">
        <f t="shared" si="7"/>
        <v>0.13867889087656529</v>
      </c>
      <c r="Y18" s="22">
        <f t="shared" si="1"/>
        <v>1.4330769230769229</v>
      </c>
      <c r="Z18" s="22">
        <f t="shared" si="2"/>
        <v>8.6266046511627933E-2</v>
      </c>
      <c r="AA18" s="22">
        <f>$R18*AA$2+$S18*1+$T18*AA$4+$U18*AA$5</f>
        <v>28.045161290322582</v>
      </c>
      <c r="AB18" s="21">
        <f t="shared" si="9"/>
        <v>3.3740380143112693E-4</v>
      </c>
      <c r="AC18" s="21">
        <f t="shared" si="9"/>
        <v>1.1130366726296961E-4</v>
      </c>
      <c r="AD18" s="21">
        <f t="shared" si="9"/>
        <v>3.3497316636851519E-5</v>
      </c>
      <c r="AE18" s="21">
        <f t="shared" si="9"/>
        <v>4.3269230769230754E-4</v>
      </c>
      <c r="AF18" s="21">
        <f t="shared" si="9"/>
        <v>2.604651162790698E-5</v>
      </c>
      <c r="AG18" s="21">
        <f t="shared" si="9"/>
        <v>9.4838709677419364E-2</v>
      </c>
      <c r="AH18" s="21">
        <v>0</v>
      </c>
      <c r="AI18" s="25">
        <f>G18*$L18*N$18</f>
        <v>0.17499999999999999</v>
      </c>
      <c r="AK18" s="53">
        <f t="shared" si="10"/>
        <v>0.27077965328207054</v>
      </c>
    </row>
    <row r="19" spans="1:37" x14ac:dyDescent="0.25">
      <c r="A19" s="26" t="s">
        <v>31</v>
      </c>
      <c r="B19" s="21">
        <v>0.6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>
        <f>B19*$J$5/(H$7/1000000)/1000000000</f>
        <v>97.988165680473372</v>
      </c>
      <c r="I19" s="22">
        <f>C19*$J$5/(I$7/1000000)/1000000000</f>
        <v>0</v>
      </c>
      <c r="J19" s="22">
        <f>D19*$J$5/(J$7/1000000)/1000000000</f>
        <v>0</v>
      </c>
      <c r="K19" s="22">
        <f>E19*$J$5/(K$7/1000000)/1000000000</f>
        <v>0</v>
      </c>
      <c r="L19" s="23">
        <v>0.7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44">
        <f t="shared" si="4"/>
        <v>68.591715976331358</v>
      </c>
      <c r="S19" s="44">
        <f t="shared" si="0"/>
        <v>0</v>
      </c>
      <c r="T19" s="44">
        <f t="shared" si="0"/>
        <v>0</v>
      </c>
      <c r="U19" s="44">
        <f t="shared" si="0"/>
        <v>0</v>
      </c>
      <c r="V19" s="22">
        <f t="shared" ref="V19:V20" si="11">($R19*V$2+$S19*V$3+$T19*V$4+$U19*V$5)*1.14</f>
        <v>78.194556213017748</v>
      </c>
      <c r="W19" s="22">
        <f t="shared" si="6"/>
        <v>0</v>
      </c>
      <c r="X19" s="22">
        <f t="shared" si="7"/>
        <v>0</v>
      </c>
      <c r="Y19" s="22">
        <f t="shared" si="1"/>
        <v>0</v>
      </c>
      <c r="Z19" s="22">
        <f t="shared" si="2"/>
        <v>0</v>
      </c>
      <c r="AA19" s="22">
        <f t="shared" si="8"/>
        <v>0</v>
      </c>
      <c r="AB19" s="21">
        <f t="shared" si="9"/>
        <v>1.2276923076923076E-2</v>
      </c>
      <c r="AC19" s="21">
        <f t="shared" si="9"/>
        <v>0</v>
      </c>
      <c r="AD19" s="21">
        <f t="shared" si="9"/>
        <v>0</v>
      </c>
      <c r="AE19" s="21">
        <f t="shared" si="9"/>
        <v>0</v>
      </c>
      <c r="AF19" s="21">
        <f t="shared" si="9"/>
        <v>0</v>
      </c>
      <c r="AG19" s="21">
        <f t="shared" si="9"/>
        <v>0</v>
      </c>
      <c r="AH19" s="21">
        <v>0</v>
      </c>
      <c r="AI19" s="25">
        <f t="shared" ref="AI19:AI20" si="12">G19*$L19*N$18</f>
        <v>0</v>
      </c>
      <c r="AK19" s="53">
        <f t="shared" si="10"/>
        <v>1.2276923076923076E-2</v>
      </c>
    </row>
    <row r="20" spans="1:37" x14ac:dyDescent="0.25">
      <c r="A20" s="20" t="s">
        <v>32</v>
      </c>
      <c r="B20" s="21">
        <v>0.06</v>
      </c>
      <c r="C20" s="21">
        <v>3.2000000000000001E-2</v>
      </c>
      <c r="D20" s="21">
        <v>1.6E-2</v>
      </c>
      <c r="E20" s="21">
        <v>0</v>
      </c>
      <c r="F20" s="21">
        <v>0.28799999999999998</v>
      </c>
      <c r="G20" s="21">
        <v>0.01</v>
      </c>
      <c r="H20" s="22">
        <f>B20*$J$5/(H$7/1000000)/1000000000</f>
        <v>9.7988165680473394</v>
      </c>
      <c r="I20" s="22">
        <f>C20*$J$5/(I$7/1000000)/1000000000</f>
        <v>8.5470967741935482</v>
      </c>
      <c r="J20" s="22">
        <f>D20*$J$5/(J$7/1000000)/1000000000</f>
        <v>5.1348837209302332</v>
      </c>
      <c r="K20" s="22">
        <f>E20*$J$5/(K$7/1000000)/1000000000</f>
        <v>0</v>
      </c>
      <c r="L20" s="23">
        <v>0.62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44">
        <f t="shared" si="4"/>
        <v>6.0752662721893502</v>
      </c>
      <c r="S20" s="44">
        <f t="shared" si="0"/>
        <v>5.2991999999999999</v>
      </c>
      <c r="T20" s="44">
        <f t="shared" si="0"/>
        <v>3.1836279069767444</v>
      </c>
      <c r="U20" s="44">
        <f t="shared" si="0"/>
        <v>0</v>
      </c>
      <c r="V20" s="22">
        <f t="shared" si="11"/>
        <v>13.403348450760975</v>
      </c>
      <c r="W20" s="22">
        <f t="shared" si="6"/>
        <v>0.35019906976744197</v>
      </c>
      <c r="X20" s="22">
        <f t="shared" si="7"/>
        <v>6.3672558139534888E-2</v>
      </c>
      <c r="Y20" s="22">
        <f t="shared" si="1"/>
        <v>0</v>
      </c>
      <c r="Z20" s="22">
        <f t="shared" si="2"/>
        <v>0.28525306046511634</v>
      </c>
      <c r="AA20" s="22">
        <f t="shared" si="8"/>
        <v>0.63590399999999991</v>
      </c>
      <c r="AB20" s="21">
        <f t="shared" si="9"/>
        <v>2.1043904572450802E-3</v>
      </c>
      <c r="AC20" s="21">
        <f t="shared" si="9"/>
        <v>1.0573643410852715E-4</v>
      </c>
      <c r="AD20" s="21">
        <f t="shared" si="9"/>
        <v>1.5379844961240309E-5</v>
      </c>
      <c r="AE20" s="21">
        <f t="shared" si="9"/>
        <v>0</v>
      </c>
      <c r="AF20" s="21">
        <f t="shared" si="9"/>
        <v>8.6127131782945759E-5</v>
      </c>
      <c r="AG20" s="21">
        <f t="shared" si="9"/>
        <v>2.1503999999999998E-3</v>
      </c>
      <c r="AH20" s="25">
        <f>F20*$L20</f>
        <v>0.17856</v>
      </c>
      <c r="AI20" s="25">
        <f t="shared" si="12"/>
        <v>6.1999999999999998E-3</v>
      </c>
      <c r="AK20" s="53">
        <f t="shared" si="10"/>
        <v>0.1892220338680978</v>
      </c>
    </row>
    <row r="21" spans="1:37" x14ac:dyDescent="0.25">
      <c r="A21" s="27" t="s">
        <v>33</v>
      </c>
      <c r="B21" s="21">
        <f>SUM(B10:B20)</f>
        <v>3.1480000000000001</v>
      </c>
      <c r="C21" s="21">
        <f t="shared" ref="C21:G21" si="13">SUM(C10:C20)</f>
        <v>2.7560000000000002</v>
      </c>
      <c r="D21" s="21">
        <f t="shared" si="13"/>
        <v>2.4079999999999999</v>
      </c>
      <c r="E21" s="21">
        <f t="shared" si="13"/>
        <v>1.792</v>
      </c>
      <c r="F21" s="21">
        <f t="shared" si="13"/>
        <v>1.35</v>
      </c>
      <c r="G21" s="21">
        <f t="shared" si="13"/>
        <v>0.56399999999999995</v>
      </c>
      <c r="H21" s="22">
        <f>B21*$J$5/(H$7/1000000)/1000000000</f>
        <v>514.11124260355041</v>
      </c>
      <c r="I21" s="22">
        <f>C21*$J$5/(I$7/1000000)/1000000000</f>
        <v>736.11870967741947</v>
      </c>
      <c r="J21" s="22">
        <f>D21*$J$5/(J$7/1000000)/1000000000</f>
        <v>772.8</v>
      </c>
      <c r="K21" s="22">
        <f>E21*$J$5/(K$7/1000000)/1000000000</f>
        <v>475.56923076923078</v>
      </c>
      <c r="R21" s="21">
        <f t="shared" ref="R21:U21" si="14">SUM(R10:R20)</f>
        <v>379.45753846153849</v>
      </c>
      <c r="S21" s="21">
        <f t="shared" si="14"/>
        <v>456.47639999999996</v>
      </c>
      <c r="T21" s="21">
        <f t="shared" si="14"/>
        <v>707.53562790697686</v>
      </c>
      <c r="U21" s="21">
        <f t="shared" si="14"/>
        <v>322.42638461538462</v>
      </c>
      <c r="V21" s="22">
        <f>SUM(V10:V20)</f>
        <v>1212.384329195552</v>
      </c>
      <c r="W21" s="22">
        <f>SUM(W10:W20)</f>
        <v>113.29582137745976</v>
      </c>
      <c r="X21" s="22">
        <f>U21*X5+T21*X4</f>
        <v>30.27203178890877</v>
      </c>
      <c r="Y21" s="22">
        <f>SUM(Y10:Y20)</f>
        <v>193.45583076923074</v>
      </c>
      <c r="Z21" s="22">
        <f>SUM(Z10:Z20)</f>
        <v>63.395192260465123</v>
      </c>
      <c r="AA21" s="22">
        <f>SUM(AA10:AA20)</f>
        <v>79.456909935483864</v>
      </c>
      <c r="AB21" s="21">
        <f>V21/$J$5*1000000000*AB7/1000000</f>
        <v>0.19035019661282823</v>
      </c>
      <c r="AC21" s="21">
        <f>W21/$J$5*1000000000*AC7/1000000</f>
        <v>3.4207675536672637E-2</v>
      </c>
      <c r="AD21" s="21">
        <f>X21/$J$5*1000000000*AD7/1000000</f>
        <v>7.3120849731663695E-3</v>
      </c>
      <c r="AE21" s="21">
        <f>Y21/$J$5*1000000000*AE7/1000000</f>
        <v>5.8410576923076912E-2</v>
      </c>
      <c r="AF21" s="21">
        <f>Z21/$J$5*1000000000*AF7/1000000</f>
        <v>1.914106046511628E-2</v>
      </c>
      <c r="AG21" s="21">
        <f>AA21/$J$5*1000000000*AG7/1000000</f>
        <v>0.26869486451612901</v>
      </c>
      <c r="AH21" s="21">
        <f t="shared" ref="AH21:AI21" si="15">SUM(AH10:AH20)</f>
        <v>0.77328000000000019</v>
      </c>
      <c r="AI21" s="21">
        <f t="shared" si="15"/>
        <v>0.32833999999999997</v>
      </c>
      <c r="AK21" s="53">
        <f t="shared" si="10"/>
        <v>1.6797364590269894</v>
      </c>
    </row>
    <row r="22" spans="1:37" ht="15.75" thickBot="1" x14ac:dyDescent="0.3">
      <c r="AB22" s="28">
        <f>SUM(AB21:AI21)</f>
        <v>1.6797364590269894</v>
      </c>
      <c r="AC22" s="29"/>
      <c r="AD22" s="29"/>
      <c r="AE22" s="29"/>
      <c r="AF22" s="29"/>
      <c r="AG22" s="29"/>
      <c r="AH22" s="29"/>
      <c r="AI22" s="30"/>
    </row>
    <row r="23" spans="1:37" x14ac:dyDescent="0.25">
      <c r="W23" t="s">
        <v>56</v>
      </c>
      <c r="AB23" s="54"/>
      <c r="AC23" s="54"/>
      <c r="AD23" s="54"/>
      <c r="AE23" s="54"/>
      <c r="AF23" s="54"/>
      <c r="AG23" s="54"/>
      <c r="AH23" s="54"/>
      <c r="AI23" s="54"/>
    </row>
    <row r="24" spans="1:37" x14ac:dyDescent="0.25">
      <c r="V24" s="36">
        <f>Y21+W24</f>
        <v>322.29741406153846</v>
      </c>
      <c r="W24" s="36">
        <f>Y21*0.666</f>
        <v>128.84158329230769</v>
      </c>
      <c r="AB24" s="31"/>
      <c r="AC24" s="32"/>
      <c r="AD24" s="32"/>
      <c r="AE24" s="32"/>
      <c r="AF24" s="32"/>
      <c r="AG24" s="32"/>
      <c r="AH24" s="32"/>
      <c r="AI24" s="32"/>
    </row>
    <row r="25" spans="1:37" x14ac:dyDescent="0.25">
      <c r="V25" s="36"/>
      <c r="W25" s="36"/>
      <c r="AB25" s="31"/>
      <c r="AC25" s="32"/>
      <c r="AD25" s="32"/>
      <c r="AE25" s="32"/>
      <c r="AF25" s="32"/>
      <c r="AG25" s="32"/>
      <c r="AH25" s="32"/>
      <c r="AI25" s="32"/>
    </row>
    <row r="26" spans="1:37" x14ac:dyDescent="0.25">
      <c r="U26" s="1" t="s">
        <v>57</v>
      </c>
      <c r="V26" s="55">
        <f>V21+V24</f>
        <v>1534.6817432570906</v>
      </c>
      <c r="W26" s="36"/>
      <c r="AE26" s="32"/>
      <c r="AF26" s="32"/>
      <c r="AG26" s="32"/>
      <c r="AH26" s="32"/>
      <c r="AI26" s="32"/>
    </row>
    <row r="27" spans="1:37" x14ac:dyDescent="0.25">
      <c r="U27" s="1" t="s">
        <v>34</v>
      </c>
      <c r="V27" s="55"/>
      <c r="AB27" s="58" t="s">
        <v>61</v>
      </c>
      <c r="AC27" s="32"/>
      <c r="AD27" s="32"/>
      <c r="AE27" s="32"/>
      <c r="AF27" s="32"/>
      <c r="AG27" s="32"/>
      <c r="AH27" s="32"/>
      <c r="AI27" s="32"/>
    </row>
    <row r="28" spans="1:37" x14ac:dyDescent="0.25">
      <c r="U28" s="56" t="s">
        <v>35</v>
      </c>
      <c r="V28" s="34">
        <v>22</v>
      </c>
      <c r="W28" s="35"/>
      <c r="AB28" s="59" t="s">
        <v>60</v>
      </c>
      <c r="AC28" s="59"/>
      <c r="AD28" s="59"/>
      <c r="AE28" s="59" t="s">
        <v>62</v>
      </c>
      <c r="AF28" s="59"/>
      <c r="AG28" s="59"/>
    </row>
    <row r="29" spans="1:37" x14ac:dyDescent="0.25">
      <c r="Q29" s="34"/>
      <c r="R29" s="34"/>
      <c r="S29" s="34"/>
      <c r="T29" s="34"/>
      <c r="U29" s="56" t="s">
        <v>38</v>
      </c>
      <c r="V29" s="34">
        <v>231</v>
      </c>
      <c r="W29" s="34"/>
      <c r="AB29" s="40">
        <v>1000</v>
      </c>
      <c r="AC29" s="40"/>
      <c r="AD29" s="40"/>
      <c r="AE29" s="40">
        <f>V29/AB29*1000</f>
        <v>231</v>
      </c>
      <c r="AF29" s="40"/>
      <c r="AG29" s="40"/>
    </row>
    <row r="30" spans="1:37" x14ac:dyDescent="0.25">
      <c r="Q30" s="34"/>
      <c r="R30" s="34"/>
      <c r="S30" s="34"/>
      <c r="T30" s="34"/>
      <c r="U30" s="56" t="s">
        <v>37</v>
      </c>
      <c r="V30" s="34">
        <v>450</v>
      </c>
      <c r="W30" s="34"/>
      <c r="AB30" s="40">
        <v>1700</v>
      </c>
      <c r="AC30" s="40"/>
      <c r="AD30" s="40"/>
      <c r="AE30" s="60">
        <f>V30/AB30*1000</f>
        <v>264.70588235294116</v>
      </c>
      <c r="AF30" s="60"/>
      <c r="AG30" s="60"/>
    </row>
    <row r="31" spans="1:37" x14ac:dyDescent="0.25">
      <c r="Q31" s="34"/>
      <c r="R31" s="34"/>
      <c r="S31" s="34"/>
      <c r="T31" s="34"/>
      <c r="U31" s="56" t="s">
        <v>36</v>
      </c>
      <c r="V31" s="34">
        <v>740</v>
      </c>
      <c r="W31" s="34"/>
      <c r="AB31" s="40">
        <v>1400</v>
      </c>
      <c r="AC31" s="40"/>
      <c r="AD31" s="40"/>
      <c r="AE31" s="60">
        <f>V31/AB31*1000</f>
        <v>528.57142857142856</v>
      </c>
      <c r="AF31" s="60"/>
      <c r="AG31" s="60"/>
      <c r="AH31" s="55"/>
    </row>
    <row r="32" spans="1:37" x14ac:dyDescent="0.25">
      <c r="Q32" s="34"/>
      <c r="R32" s="34"/>
      <c r="S32" s="34"/>
      <c r="T32" s="34"/>
      <c r="U32" s="56" t="s">
        <v>58</v>
      </c>
      <c r="V32" s="34">
        <v>82</v>
      </c>
      <c r="W32" s="34"/>
    </row>
    <row r="33" spans="2:23" x14ac:dyDescent="0.25">
      <c r="Q33" s="34"/>
      <c r="R33" s="34"/>
      <c r="S33" s="34"/>
      <c r="T33" s="34"/>
      <c r="U33" s="57" t="s">
        <v>59</v>
      </c>
      <c r="V33" s="37">
        <v>10</v>
      </c>
      <c r="W33" s="34"/>
    </row>
    <row r="34" spans="2:23" x14ac:dyDescent="0.25">
      <c r="Q34" s="34"/>
      <c r="R34" s="34"/>
      <c r="S34" s="34"/>
      <c r="T34" s="34"/>
      <c r="U34" s="34"/>
      <c r="W34" s="34"/>
    </row>
    <row r="35" spans="2:23" x14ac:dyDescent="0.25">
      <c r="W35" s="37"/>
    </row>
    <row r="48" spans="2:23" x14ac:dyDescent="0.25">
      <c r="B48" s="33"/>
      <c r="C48" s="33"/>
      <c r="D48" s="33"/>
      <c r="E48" s="33"/>
      <c r="G48" s="33"/>
      <c r="H48" s="33"/>
    </row>
    <row r="49" spans="2:8" x14ac:dyDescent="0.25">
      <c r="B49" s="33"/>
      <c r="C49" s="33"/>
      <c r="D49" s="33"/>
      <c r="E49" s="33"/>
      <c r="F49" s="33"/>
      <c r="G49" s="33"/>
      <c r="H49" s="33"/>
    </row>
  </sheetData>
  <mergeCells count="23">
    <mergeCell ref="AB31:AD31"/>
    <mergeCell ref="AE31:AG31"/>
    <mergeCell ref="AB22:AI22"/>
    <mergeCell ref="AB28:AD28"/>
    <mergeCell ref="AE28:AG28"/>
    <mergeCell ref="AB29:AD29"/>
    <mergeCell ref="AE29:AG29"/>
    <mergeCell ref="AB30:AD30"/>
    <mergeCell ref="AE30:AG30"/>
    <mergeCell ref="AB6:AG6"/>
    <mergeCell ref="B9:G9"/>
    <mergeCell ref="H9:K9"/>
    <mergeCell ref="L9:Q9"/>
    <mergeCell ref="R9:U9"/>
    <mergeCell ref="V9:AA9"/>
    <mergeCell ref="AB9:AI9"/>
    <mergeCell ref="V1:AA1"/>
    <mergeCell ref="J5:K5"/>
    <mergeCell ref="B6:G6"/>
    <mergeCell ref="H6:K6"/>
    <mergeCell ref="L6:Q6"/>
    <mergeCell ref="R6:U6"/>
    <mergeCell ref="V6:AA6"/>
  </mergeCells>
  <conditionalFormatting sqref="AB21:AI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9"/>
  <sheetViews>
    <sheetView zoomScale="85" zoomScaleNormal="85" workbookViewId="0">
      <selection activeCell="N8" sqref="N8"/>
    </sheetView>
  </sheetViews>
  <sheetFormatPr baseColWidth="10" defaultRowHeight="15" x14ac:dyDescent="0.25"/>
  <cols>
    <col min="1" max="1" width="35.140625" bestFit="1" customWidth="1"/>
    <col min="2" max="7" width="6.85546875" customWidth="1"/>
    <col min="8" max="11" width="9.28515625" customWidth="1"/>
    <col min="12" max="17" width="6.42578125" customWidth="1"/>
    <col min="18" max="21" width="8.28515625" customWidth="1"/>
    <col min="22" max="22" width="12.7109375" customWidth="1"/>
    <col min="23" max="23" width="10.28515625" customWidth="1"/>
    <col min="24" max="24" width="7.5703125" customWidth="1"/>
    <col min="25" max="25" width="10.28515625" customWidth="1"/>
    <col min="26" max="26" width="9.42578125" customWidth="1"/>
    <col min="27" max="27" width="7.5703125" customWidth="1"/>
    <col min="28" max="35" width="5.5703125" customWidth="1"/>
    <col min="36" max="36" width="7" customWidth="1"/>
    <col min="37" max="37" width="7.140625" bestFit="1" customWidth="1"/>
  </cols>
  <sheetData>
    <row r="1" spans="1:37" x14ac:dyDescent="0.25">
      <c r="V1" s="45" t="s">
        <v>50</v>
      </c>
      <c r="W1" s="46"/>
      <c r="X1" s="46"/>
      <c r="Y1" s="46"/>
      <c r="Z1" s="46"/>
      <c r="AA1" s="47"/>
    </row>
    <row r="2" spans="1:37" x14ac:dyDescent="0.25">
      <c r="U2" s="1" t="s">
        <v>45</v>
      </c>
      <c r="V2" s="48">
        <v>1</v>
      </c>
      <c r="W2" s="49"/>
      <c r="X2" s="49"/>
      <c r="Y2" s="49"/>
      <c r="Z2" s="49"/>
      <c r="AA2" s="49"/>
    </row>
    <row r="3" spans="1:37" x14ac:dyDescent="0.25">
      <c r="N3" s="3"/>
      <c r="U3" s="1" t="s">
        <v>46</v>
      </c>
      <c r="V3" s="48">
        <v>0.88</v>
      </c>
      <c r="W3" s="49"/>
      <c r="X3" s="49"/>
      <c r="Y3" s="49"/>
      <c r="Z3" s="49"/>
      <c r="AA3" s="48">
        <v>0.12</v>
      </c>
      <c r="AB3" t="s">
        <v>49</v>
      </c>
    </row>
    <row r="4" spans="1:37" x14ac:dyDescent="0.25">
      <c r="U4" s="1" t="s">
        <v>47</v>
      </c>
      <c r="V4" s="48">
        <v>0.34</v>
      </c>
      <c r="W4" s="48">
        <v>0.08</v>
      </c>
      <c r="X4" s="48">
        <v>0.02</v>
      </c>
      <c r="Y4" s="49"/>
      <c r="Z4" s="48">
        <v>0.05</v>
      </c>
      <c r="AA4" s="49"/>
      <c r="AB4" s="2"/>
    </row>
    <row r="5" spans="1:37" x14ac:dyDescent="0.25">
      <c r="I5" s="1" t="s">
        <v>0</v>
      </c>
      <c r="J5" s="5">
        <v>82800000</v>
      </c>
      <c r="K5" s="5"/>
      <c r="U5" s="1" t="s">
        <v>48</v>
      </c>
      <c r="V5" s="48">
        <v>0.68</v>
      </c>
      <c r="W5" s="48">
        <v>0.08</v>
      </c>
      <c r="X5" s="48">
        <v>0.04</v>
      </c>
      <c r="Y5" s="48">
        <v>0.2</v>
      </c>
      <c r="Z5" s="48"/>
      <c r="AA5" s="49"/>
    </row>
    <row r="6" spans="1:37" ht="48" customHeight="1" x14ac:dyDescent="0.25">
      <c r="B6" s="4" t="s">
        <v>39</v>
      </c>
      <c r="C6" s="4"/>
      <c r="D6" s="4"/>
      <c r="E6" s="4"/>
      <c r="F6" s="4"/>
      <c r="G6" s="4"/>
      <c r="H6" s="6" t="s">
        <v>40</v>
      </c>
      <c r="I6" s="7"/>
      <c r="J6" s="7"/>
      <c r="K6" s="8"/>
      <c r="L6" s="16" t="s">
        <v>1</v>
      </c>
      <c r="M6" s="17"/>
      <c r="N6" s="17"/>
      <c r="O6" s="17"/>
      <c r="P6" s="17"/>
      <c r="Q6" s="18"/>
      <c r="R6" s="5" t="s">
        <v>2</v>
      </c>
      <c r="S6" s="5"/>
      <c r="T6" s="5"/>
      <c r="U6" s="5"/>
      <c r="V6" s="4" t="s">
        <v>3</v>
      </c>
      <c r="W6" s="4"/>
      <c r="X6" s="4"/>
      <c r="Y6" s="4"/>
      <c r="Z6" s="4"/>
      <c r="AA6" s="4"/>
      <c r="AB6" s="6" t="s">
        <v>54</v>
      </c>
      <c r="AC6" s="7"/>
      <c r="AD6" s="7"/>
      <c r="AE6" s="7"/>
      <c r="AF6" s="7"/>
      <c r="AG6" s="8"/>
    </row>
    <row r="7" spans="1:37" ht="27.75" customHeight="1" x14ac:dyDescent="0.25">
      <c r="B7" s="41"/>
      <c r="C7" s="41"/>
      <c r="D7" s="41"/>
      <c r="E7" s="41"/>
      <c r="F7" s="41"/>
      <c r="G7" s="41"/>
      <c r="H7" s="43">
        <v>507</v>
      </c>
      <c r="I7" s="43">
        <v>310</v>
      </c>
      <c r="J7" s="43">
        <v>258</v>
      </c>
      <c r="K7" s="43">
        <v>312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1"/>
      <c r="AA7" s="41"/>
      <c r="AB7" s="43">
        <v>13</v>
      </c>
      <c r="AC7" s="43">
        <v>25</v>
      </c>
      <c r="AD7" s="43">
        <v>20</v>
      </c>
      <c r="AE7" s="43">
        <v>25</v>
      </c>
      <c r="AF7" s="43">
        <v>25</v>
      </c>
      <c r="AG7" s="43">
        <v>280</v>
      </c>
    </row>
    <row r="8" spans="1:37" ht="200.25" customHeight="1" x14ac:dyDescent="0.25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5</v>
      </c>
      <c r="I8" s="10" t="s">
        <v>6</v>
      </c>
      <c r="J8" s="10" t="s">
        <v>7</v>
      </c>
      <c r="K8" s="10" t="s">
        <v>8</v>
      </c>
      <c r="L8" s="38" t="s">
        <v>11</v>
      </c>
      <c r="M8" s="39" t="s">
        <v>41</v>
      </c>
      <c r="N8" s="39" t="s">
        <v>64</v>
      </c>
      <c r="O8" s="39" t="s">
        <v>42</v>
      </c>
      <c r="P8" s="38" t="s">
        <v>12</v>
      </c>
      <c r="Q8" s="39" t="s">
        <v>43</v>
      </c>
      <c r="R8" s="10" t="s">
        <v>5</v>
      </c>
      <c r="S8" s="10" t="s">
        <v>44</v>
      </c>
      <c r="T8" s="10" t="s">
        <v>7</v>
      </c>
      <c r="U8" s="10" t="s">
        <v>8</v>
      </c>
      <c r="V8" s="50" t="s">
        <v>63</v>
      </c>
      <c r="W8" s="12" t="s">
        <v>51</v>
      </c>
      <c r="X8" s="11" t="s">
        <v>14</v>
      </c>
      <c r="Y8" s="12" t="s">
        <v>15</v>
      </c>
      <c r="Z8" s="12" t="s">
        <v>52</v>
      </c>
      <c r="AA8" s="11" t="s">
        <v>17</v>
      </c>
      <c r="AB8" s="50" t="s">
        <v>5</v>
      </c>
      <c r="AC8" s="12" t="s">
        <v>13</v>
      </c>
      <c r="AD8" s="11" t="s">
        <v>14</v>
      </c>
      <c r="AE8" s="12" t="s">
        <v>53</v>
      </c>
      <c r="AF8" s="12" t="s">
        <v>16</v>
      </c>
      <c r="AG8" s="11" t="s">
        <v>17</v>
      </c>
      <c r="AH8" s="10" t="s">
        <v>9</v>
      </c>
      <c r="AI8" s="10" t="s">
        <v>10</v>
      </c>
      <c r="AK8" s="51" t="s">
        <v>55</v>
      </c>
    </row>
    <row r="9" spans="1:37" x14ac:dyDescent="0.25">
      <c r="A9" s="9"/>
      <c r="B9" s="13" t="s">
        <v>18</v>
      </c>
      <c r="C9" s="14"/>
      <c r="D9" s="14"/>
      <c r="E9" s="14"/>
      <c r="F9" s="14"/>
      <c r="G9" s="15"/>
      <c r="H9" s="5" t="s">
        <v>19</v>
      </c>
      <c r="I9" s="5"/>
      <c r="J9" s="5"/>
      <c r="K9" s="5"/>
      <c r="L9" s="16" t="s">
        <v>20</v>
      </c>
      <c r="M9" s="17"/>
      <c r="N9" s="17"/>
      <c r="O9" s="17"/>
      <c r="P9" s="17"/>
      <c r="Q9" s="18"/>
      <c r="R9" s="5" t="s">
        <v>19</v>
      </c>
      <c r="S9" s="5"/>
      <c r="T9" s="5"/>
      <c r="U9" s="5"/>
      <c r="V9" s="16" t="s">
        <v>21</v>
      </c>
      <c r="W9" s="17"/>
      <c r="X9" s="17"/>
      <c r="Y9" s="17"/>
      <c r="Z9" s="17"/>
      <c r="AA9" s="18"/>
      <c r="AB9" s="19" t="s">
        <v>18</v>
      </c>
      <c r="AC9" s="19"/>
      <c r="AD9" s="19"/>
      <c r="AE9" s="19"/>
      <c r="AF9" s="19"/>
      <c r="AG9" s="19"/>
      <c r="AH9" s="19"/>
      <c r="AI9" s="19"/>
      <c r="AK9" s="52"/>
    </row>
    <row r="10" spans="1:37" x14ac:dyDescent="0.25">
      <c r="A10" s="20" t="s">
        <v>22</v>
      </c>
      <c r="B10" s="21">
        <v>0.32400000000000001</v>
      </c>
      <c r="C10" s="21">
        <v>0.14400000000000002</v>
      </c>
      <c r="D10" s="21">
        <v>7.2000000000000008E-2</v>
      </c>
      <c r="E10" s="21">
        <v>0.14400000000000002</v>
      </c>
      <c r="F10" s="21">
        <v>1.0620000000000001</v>
      </c>
      <c r="G10" s="21">
        <v>5.3999999999999999E-2</v>
      </c>
      <c r="H10" s="22">
        <f>B10*$J$5/(H$7/1000000)/1000000000</f>
        <v>52.913609467455629</v>
      </c>
      <c r="I10" s="22">
        <f>C10*$J$5/(I$7/1000000)/1000000000</f>
        <v>38.461935483870974</v>
      </c>
      <c r="J10" s="22">
        <f>D10*$J$5/(J$7/1000000)/1000000000</f>
        <v>23.106976744186049</v>
      </c>
      <c r="K10" s="22">
        <f>E10*$J$5/(K$7/1000000)/1000000000</f>
        <v>38.215384615384622</v>
      </c>
      <c r="L10" s="23">
        <v>1</v>
      </c>
      <c r="M10" s="23">
        <v>1</v>
      </c>
      <c r="N10" s="23">
        <v>1</v>
      </c>
      <c r="O10" s="23">
        <v>1</v>
      </c>
      <c r="P10" s="23">
        <v>1</v>
      </c>
      <c r="Q10" s="23">
        <v>1</v>
      </c>
      <c r="R10" s="44">
        <f>H10*$L10*M10*$Q10</f>
        <v>52.913609467455629</v>
      </c>
      <c r="S10" s="44">
        <f t="shared" ref="S10:U20" si="0">I10*$L10*N10*$Q10</f>
        <v>38.461935483870974</v>
      </c>
      <c r="T10" s="44">
        <f t="shared" si="0"/>
        <v>23.106976744186049</v>
      </c>
      <c r="U10" s="44">
        <f t="shared" si="0"/>
        <v>38.215384615384622</v>
      </c>
      <c r="V10" s="22">
        <f>($R10*V$2+$S10*V$3+$T10*V$4+$U10*V$5)*1.14</f>
        <v>137.48735881021145</v>
      </c>
      <c r="W10" s="22">
        <f>($R10*W$2+$S10*W$3+$T10*W$4+$U10*W$5)*1.1</f>
        <v>5.3963677996422197</v>
      </c>
      <c r="X10" s="22">
        <f>$R10*X$2+$S10*X$3+$T10*X$4+$U10*X$5</f>
        <v>1.9907549194991059</v>
      </c>
      <c r="Y10" s="22">
        <f t="shared" ref="Y10:Y20" si="1">($R10*Y$2+$S10*Y$3+$T10*Y$4+$U10*Y$5)</f>
        <v>7.6430769230769249</v>
      </c>
      <c r="Z10" s="22">
        <f t="shared" ref="Z10:Z20" si="2">($R10*Z$2+$S10*Z$3+$T10*Z$4+$U10*Z$5)*1.12</f>
        <v>1.2939906976744191</v>
      </c>
      <c r="AA10" s="22">
        <f>$R10*AA$2+$S10*AA$3+$T10*AA$4+$U10*AA$5</f>
        <v>4.6154322580645166</v>
      </c>
      <c r="AB10" s="21">
        <f>V10/$J$5*1000000000*AB$7/1000000</f>
        <v>2.1586179523342377E-2</v>
      </c>
      <c r="AC10" s="21">
        <f>W10/$J$5*1000000000*AC$7/1000000</f>
        <v>1.6293381037567087E-3</v>
      </c>
      <c r="AD10" s="21">
        <f>X10/$J$5*1000000000*AD$7/1000000</f>
        <v>4.8085867620751351E-4</v>
      </c>
      <c r="AE10" s="21">
        <f>Y10/$J$5*1000000000*AE$7/1000000</f>
        <v>2.3076923076923083E-3</v>
      </c>
      <c r="AF10" s="21">
        <f>Z10/$J$5*1000000000*AF$7/1000000</f>
        <v>3.906976744186048E-4</v>
      </c>
      <c r="AG10" s="21">
        <f>AA10/$J$5*1000000000*AG$7/1000000</f>
        <v>1.5607741935483872E-2</v>
      </c>
      <c r="AH10" s="25">
        <f>F10*$L10*Q10</f>
        <v>1.0620000000000001</v>
      </c>
      <c r="AI10" s="25">
        <f t="shared" ref="AI10:AI20" si="3">G10*$L10*N$18</f>
        <v>5.3999999999999999E-2</v>
      </c>
      <c r="AK10" s="53">
        <f>SUM(AB10:AI10)</f>
        <v>1.1580025082209016</v>
      </c>
    </row>
    <row r="11" spans="1:37" x14ac:dyDescent="0.25">
      <c r="A11" s="9" t="s">
        <v>23</v>
      </c>
      <c r="B11" s="21">
        <v>5.6999999999999995E-2</v>
      </c>
      <c r="C11" s="21">
        <v>0.1</v>
      </c>
      <c r="D11" s="21">
        <v>1.56</v>
      </c>
      <c r="E11" s="21">
        <v>0.19</v>
      </c>
      <c r="F11" s="21">
        <v>0</v>
      </c>
      <c r="G11" s="21">
        <v>0</v>
      </c>
      <c r="H11" s="22">
        <f>B11*$J$5/(H$7/1000000)/1000000000</f>
        <v>9.3088757396449715</v>
      </c>
      <c r="I11" s="22">
        <f>C11*$J$5/(I$7/1000000)/1000000000</f>
        <v>26.70967741935484</v>
      </c>
      <c r="J11" s="22">
        <f>D11*$J$5/(J$7/1000000)/1000000000</f>
        <v>500.6511627906977</v>
      </c>
      <c r="K11" s="22">
        <f>E11*$J$5/(K$7/1000000)/1000000000</f>
        <v>50.423076923076927</v>
      </c>
      <c r="L11" s="23">
        <v>1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44">
        <f t="shared" ref="R11:R20" si="4">H11*$L11*M11*$Q11</f>
        <v>9.3088757396449715</v>
      </c>
      <c r="S11" s="44">
        <f t="shared" si="0"/>
        <v>26.70967741935484</v>
      </c>
      <c r="T11" s="44">
        <f t="shared" si="0"/>
        <v>500.6511627906977</v>
      </c>
      <c r="U11" s="44">
        <f t="shared" si="0"/>
        <v>50.423076923076927</v>
      </c>
      <c r="V11" s="22">
        <f t="shared" ref="V11:V17" si="5">($R11*V$2+$S11*V$3+$T11*V$4+$U11*V$5)*1.14</f>
        <v>270.54762665873568</v>
      </c>
      <c r="W11" s="22">
        <f t="shared" ref="W11:W20" si="6">($R11*W$2+$S11*W$3+$T11*W$4+$U11*W$5)*1.1</f>
        <v>48.494533094812169</v>
      </c>
      <c r="X11" s="22">
        <f t="shared" ref="X11:X20" si="7">$R11*X$2+$S11*X$3+$T11*X$4+$U11*X$5</f>
        <v>12.02994633273703</v>
      </c>
      <c r="Y11" s="22">
        <f t="shared" si="1"/>
        <v>10.084615384615386</v>
      </c>
      <c r="Z11" s="22">
        <f t="shared" si="2"/>
        <v>28.036465116279075</v>
      </c>
      <c r="AA11" s="22">
        <f t="shared" ref="AA11:AA20" si="8">$R11*AA$2+$S11*AA$3+$T11*AA$4+$U11*AA$5</f>
        <v>3.2051612903225806</v>
      </c>
      <c r="AB11" s="21">
        <f t="shared" ref="AB11:AG20" si="9">V11/$J$5*1000000000*AB$7/1000000</f>
        <v>4.2477284378786999E-2</v>
      </c>
      <c r="AC11" s="21">
        <f t="shared" si="9"/>
        <v>1.4642069171138942E-2</v>
      </c>
      <c r="AD11" s="21">
        <f t="shared" si="9"/>
        <v>2.905784138342278E-3</v>
      </c>
      <c r="AE11" s="21">
        <f t="shared" si="9"/>
        <v>3.0448717948717953E-3</v>
      </c>
      <c r="AF11" s="21">
        <f t="shared" si="9"/>
        <v>8.465116279069769E-3</v>
      </c>
      <c r="AG11" s="21">
        <f t="shared" si="9"/>
        <v>1.0838709677419352E-2</v>
      </c>
      <c r="AH11" s="21">
        <v>0</v>
      </c>
      <c r="AI11" s="25">
        <f t="shared" si="3"/>
        <v>0</v>
      </c>
      <c r="AK11" s="53">
        <f t="shared" ref="AK11:AK21" si="10">SUM(AB11:AI11)</f>
        <v>8.2373835439629117E-2</v>
      </c>
    </row>
    <row r="12" spans="1:37" ht="30" x14ac:dyDescent="0.25">
      <c r="A12" s="9" t="s">
        <v>24</v>
      </c>
      <c r="B12" s="21">
        <v>0.76</v>
      </c>
      <c r="C12" s="21">
        <v>0.44</v>
      </c>
      <c r="D12" s="21">
        <v>0.51</v>
      </c>
      <c r="E12" s="21">
        <v>0.13</v>
      </c>
      <c r="F12" s="21">
        <v>0</v>
      </c>
      <c r="G12" s="21">
        <v>0.06</v>
      </c>
      <c r="H12" s="22">
        <f>B12*$J$5/(H$7/1000000)/1000000000</f>
        <v>124.11834319526628</v>
      </c>
      <c r="I12" s="22">
        <f>C12*$J$5/(I$7/1000000)/1000000000</f>
        <v>117.52258064516128</v>
      </c>
      <c r="J12" s="22">
        <f>D12*$J$5/(J$7/1000000)/1000000000</f>
        <v>163.67441860465118</v>
      </c>
      <c r="K12" s="22">
        <f>E12*$J$5/(K$7/1000000)/1000000000</f>
        <v>34.5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44">
        <f t="shared" si="4"/>
        <v>124.11834319526628</v>
      </c>
      <c r="S12" s="44">
        <f t="shared" si="0"/>
        <v>117.52258064516128</v>
      </c>
      <c r="T12" s="44">
        <f t="shared" si="0"/>
        <v>163.67441860465118</v>
      </c>
      <c r="U12" s="44">
        <f t="shared" si="0"/>
        <v>34.5</v>
      </c>
      <c r="V12" s="22">
        <f t="shared" si="5"/>
        <v>349.57816879699209</v>
      </c>
      <c r="W12" s="22">
        <f t="shared" si="6"/>
        <v>17.439348837209305</v>
      </c>
      <c r="X12" s="22">
        <f t="shared" si="7"/>
        <v>4.6534883720930234</v>
      </c>
      <c r="Y12" s="22">
        <f t="shared" si="1"/>
        <v>6.9</v>
      </c>
      <c r="Z12" s="22">
        <f t="shared" si="2"/>
        <v>9.1657674418604671</v>
      </c>
      <c r="AA12" s="22">
        <f t="shared" si="8"/>
        <v>14.102709677419353</v>
      </c>
      <c r="AB12" s="21">
        <f t="shared" si="9"/>
        <v>5.4885461284551892E-2</v>
      </c>
      <c r="AC12" s="21">
        <f t="shared" si="9"/>
        <v>5.265503875968993E-3</v>
      </c>
      <c r="AD12" s="21">
        <f t="shared" si="9"/>
        <v>1.1240310077519379E-3</v>
      </c>
      <c r="AE12" s="21">
        <f t="shared" si="9"/>
        <v>2.0833333333333333E-3</v>
      </c>
      <c r="AF12" s="21">
        <f t="shared" si="9"/>
        <v>2.767441860465117E-3</v>
      </c>
      <c r="AG12" s="21">
        <f t="shared" si="9"/>
        <v>4.7690322580645157E-2</v>
      </c>
      <c r="AH12" s="21">
        <v>0</v>
      </c>
      <c r="AI12" s="25">
        <f t="shared" si="3"/>
        <v>0.06</v>
      </c>
      <c r="AK12" s="53">
        <f t="shared" si="10"/>
        <v>0.17381609394271644</v>
      </c>
    </row>
    <row r="13" spans="1:37" x14ac:dyDescent="0.25">
      <c r="A13" s="20" t="s">
        <v>25</v>
      </c>
      <c r="B13" s="21">
        <v>4.4999999999999998E-2</v>
      </c>
      <c r="C13" s="21">
        <v>1.4550000000000001</v>
      </c>
      <c r="D13" s="21">
        <v>0</v>
      </c>
      <c r="E13" s="21">
        <v>0</v>
      </c>
      <c r="F13" s="21">
        <v>0</v>
      </c>
      <c r="G13" s="21">
        <v>0</v>
      </c>
      <c r="H13" s="22">
        <f>B13*$J$5/(H$7/1000000)/1000000000</f>
        <v>7.3491124260355036</v>
      </c>
      <c r="I13" s="22">
        <f>C13*$J$5/(I$7/1000000)/1000000000</f>
        <v>388.6258064516129</v>
      </c>
      <c r="J13" s="22">
        <f>D13*$J$5/(J$7/1000000)/1000000000</f>
        <v>0</v>
      </c>
      <c r="K13" s="22">
        <f>E13*$J$5/(K$7/1000000)/1000000000</f>
        <v>0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44">
        <f t="shared" si="4"/>
        <v>7.3491124260355036</v>
      </c>
      <c r="S13" s="44">
        <f t="shared" si="0"/>
        <v>388.6258064516129</v>
      </c>
      <c r="T13" s="44">
        <f t="shared" si="0"/>
        <v>0</v>
      </c>
      <c r="U13" s="44">
        <f t="shared" si="0"/>
        <v>0</v>
      </c>
      <c r="V13" s="22">
        <f t="shared" si="5"/>
        <v>398.24739719793854</v>
      </c>
      <c r="W13" s="22">
        <f t="shared" si="6"/>
        <v>0</v>
      </c>
      <c r="X13" s="22">
        <f t="shared" si="7"/>
        <v>0</v>
      </c>
      <c r="Y13" s="22">
        <f t="shared" si="1"/>
        <v>0</v>
      </c>
      <c r="Z13" s="22">
        <f t="shared" si="2"/>
        <v>0</v>
      </c>
      <c r="AA13" s="22">
        <f t="shared" si="8"/>
        <v>46.635096774193549</v>
      </c>
      <c r="AB13" s="21">
        <f t="shared" si="9"/>
        <v>6.2526765260545902E-2</v>
      </c>
      <c r="AC13" s="21">
        <f t="shared" si="9"/>
        <v>0</v>
      </c>
      <c r="AD13" s="21">
        <f t="shared" si="9"/>
        <v>0</v>
      </c>
      <c r="AE13" s="21">
        <f t="shared" si="9"/>
        <v>0</v>
      </c>
      <c r="AF13" s="21">
        <f t="shared" si="9"/>
        <v>0</v>
      </c>
      <c r="AG13" s="21">
        <f t="shared" si="9"/>
        <v>0.1577032258064516</v>
      </c>
      <c r="AH13" s="21">
        <v>0</v>
      </c>
      <c r="AI13" s="25">
        <f t="shared" si="3"/>
        <v>0</v>
      </c>
      <c r="AK13" s="53">
        <f t="shared" si="10"/>
        <v>0.2202299910669975</v>
      </c>
    </row>
    <row r="14" spans="1:37" x14ac:dyDescent="0.25">
      <c r="A14" s="9" t="s">
        <v>26</v>
      </c>
      <c r="B14" s="21">
        <v>0.46</v>
      </c>
      <c r="C14" s="21">
        <v>0.16500000000000001</v>
      </c>
      <c r="D14" s="21">
        <v>0.06</v>
      </c>
      <c r="E14" s="21">
        <v>0.77</v>
      </c>
      <c r="F14" s="21">
        <v>0</v>
      </c>
      <c r="G14" s="21">
        <v>0.04</v>
      </c>
      <c r="H14" s="22">
        <f>B14*$J$5/(H$7/1000000)/1000000000</f>
        <v>75.124260355029591</v>
      </c>
      <c r="I14" s="22">
        <f>C14*$J$5/(I$7/1000000)/1000000000</f>
        <v>44.070967741935483</v>
      </c>
      <c r="J14" s="22">
        <f>D14*$J$5/(J$7/1000000)/1000000000</f>
        <v>19.255813953488374</v>
      </c>
      <c r="K14" s="22">
        <f>E14*$J$5/(K$7/1000000)/1000000000</f>
        <v>204.34615384615384</v>
      </c>
      <c r="L14" s="23">
        <v>1</v>
      </c>
      <c r="M14" s="23">
        <v>1</v>
      </c>
      <c r="N14" s="23">
        <v>1</v>
      </c>
      <c r="O14" s="23">
        <v>1</v>
      </c>
      <c r="P14" s="23">
        <v>1</v>
      </c>
      <c r="Q14" s="23">
        <v>1</v>
      </c>
      <c r="R14" s="44">
        <f t="shared" si="4"/>
        <v>75.124260355029591</v>
      </c>
      <c r="S14" s="44">
        <f t="shared" si="0"/>
        <v>44.070967741935483</v>
      </c>
      <c r="T14" s="44">
        <f t="shared" si="0"/>
        <v>19.255813953488374</v>
      </c>
      <c r="U14" s="44">
        <f t="shared" si="0"/>
        <v>204.34615384615384</v>
      </c>
      <c r="V14" s="22">
        <f t="shared" si="5"/>
        <v>295.72634359335399</v>
      </c>
      <c r="W14" s="22">
        <f t="shared" si="6"/>
        <v>19.676973166368516</v>
      </c>
      <c r="X14" s="22">
        <f t="shared" si="7"/>
        <v>8.5589624329159211</v>
      </c>
      <c r="Y14" s="22">
        <f t="shared" si="1"/>
        <v>40.869230769230768</v>
      </c>
      <c r="Z14" s="22">
        <f t="shared" si="2"/>
        <v>1.0783255813953492</v>
      </c>
      <c r="AA14" s="22">
        <f t="shared" si="8"/>
        <v>5.2885161290322582</v>
      </c>
      <c r="AB14" s="21">
        <f t="shared" si="9"/>
        <v>4.6430464573835775E-2</v>
      </c>
      <c r="AC14" s="21">
        <f t="shared" si="9"/>
        <v>5.941115086463924E-3</v>
      </c>
      <c r="AD14" s="21">
        <f t="shared" si="9"/>
        <v>2.067382230172928E-3</v>
      </c>
      <c r="AE14" s="21">
        <f t="shared" si="9"/>
        <v>1.2339743589743589E-2</v>
      </c>
      <c r="AF14" s="21">
        <f t="shared" si="9"/>
        <v>3.255813953488373E-4</v>
      </c>
      <c r="AG14" s="21">
        <f t="shared" si="9"/>
        <v>1.7883870967741935E-2</v>
      </c>
      <c r="AH14" s="21">
        <v>0</v>
      </c>
      <c r="AI14" s="25">
        <f t="shared" si="3"/>
        <v>0.04</v>
      </c>
      <c r="AK14" s="53">
        <f t="shared" si="10"/>
        <v>0.124988157843307</v>
      </c>
    </row>
    <row r="15" spans="1:37" x14ac:dyDescent="0.25">
      <c r="A15" s="20" t="s">
        <v>27</v>
      </c>
      <c r="B15" s="21">
        <v>0.17</v>
      </c>
      <c r="C15" s="21">
        <v>0.04</v>
      </c>
      <c r="D15" s="21">
        <v>7.0000000000000007E-2</v>
      </c>
      <c r="E15" s="21">
        <v>0.03</v>
      </c>
      <c r="F15" s="21">
        <v>0</v>
      </c>
      <c r="G15" s="21">
        <v>0</v>
      </c>
      <c r="H15" s="22">
        <f>B15*$J$5/(H$7/1000000)/1000000000</f>
        <v>27.76331360946746</v>
      </c>
      <c r="I15" s="22">
        <f>C15*$J$5/(I$7/1000000)/1000000000</f>
        <v>10.683870967741935</v>
      </c>
      <c r="J15" s="22">
        <f>D15*$J$5/(J$7/1000000)/1000000000</f>
        <v>22.465116279069772</v>
      </c>
      <c r="K15" s="22">
        <f>E15*$J$5/(K$7/1000000)/1000000000</f>
        <v>7.9615384615384617</v>
      </c>
      <c r="L15" s="23">
        <v>1</v>
      </c>
      <c r="M15" s="23">
        <v>1</v>
      </c>
      <c r="N15" s="23">
        <v>1</v>
      </c>
      <c r="O15" s="23">
        <v>1</v>
      </c>
      <c r="P15" s="23">
        <v>1</v>
      </c>
      <c r="Q15" s="23">
        <v>1</v>
      </c>
      <c r="R15" s="44">
        <f t="shared" si="4"/>
        <v>27.76331360946746</v>
      </c>
      <c r="S15" s="44">
        <f t="shared" si="0"/>
        <v>10.683870967741935</v>
      </c>
      <c r="T15" s="44">
        <f t="shared" si="0"/>
        <v>22.465116279069772</v>
      </c>
      <c r="U15" s="44">
        <f t="shared" si="0"/>
        <v>7.9615384615384617</v>
      </c>
      <c r="V15" s="22">
        <f t="shared" si="5"/>
        <v>57.247500554783656</v>
      </c>
      <c r="W15" s="22">
        <f t="shared" si="6"/>
        <v>2.6775456171735246</v>
      </c>
      <c r="X15" s="22">
        <f t="shared" si="7"/>
        <v>0.76776386404293384</v>
      </c>
      <c r="Y15" s="22">
        <f t="shared" si="1"/>
        <v>1.5923076923076924</v>
      </c>
      <c r="Z15" s="22">
        <f t="shared" si="2"/>
        <v>1.2580465116279076</v>
      </c>
      <c r="AA15" s="22">
        <f t="shared" si="8"/>
        <v>1.2820645161290323</v>
      </c>
      <c r="AB15" s="21">
        <f t="shared" si="9"/>
        <v>8.9881341450747283E-3</v>
      </c>
      <c r="AC15" s="21">
        <f t="shared" si="9"/>
        <v>8.0843768634466324E-4</v>
      </c>
      <c r="AD15" s="21">
        <f t="shared" si="9"/>
        <v>1.8545020870602263E-4</v>
      </c>
      <c r="AE15" s="21">
        <f t="shared" si="9"/>
        <v>4.807692307692308E-4</v>
      </c>
      <c r="AF15" s="21">
        <f t="shared" si="9"/>
        <v>3.7984496124031023E-4</v>
      </c>
      <c r="AG15" s="21">
        <f t="shared" si="9"/>
        <v>4.3354838709677417E-3</v>
      </c>
      <c r="AH15" s="21">
        <v>0</v>
      </c>
      <c r="AI15" s="25">
        <f t="shared" si="3"/>
        <v>0</v>
      </c>
      <c r="AK15" s="53">
        <f t="shared" si="10"/>
        <v>1.5178120103102698E-2</v>
      </c>
    </row>
    <row r="16" spans="1:37" x14ac:dyDescent="0.25">
      <c r="A16" s="20" t="s">
        <v>28</v>
      </c>
      <c r="B16" s="21">
        <v>0.53</v>
      </c>
      <c r="C16" s="21">
        <v>0.11</v>
      </c>
      <c r="D16" s="21">
        <v>0.09</v>
      </c>
      <c r="E16" s="21">
        <v>0.14000000000000001</v>
      </c>
      <c r="F16" s="21">
        <v>0</v>
      </c>
      <c r="G16" s="21">
        <v>0.03</v>
      </c>
      <c r="H16" s="22">
        <f>B16*$J$5/(H$7/1000000)/1000000000</f>
        <v>86.556213017751475</v>
      </c>
      <c r="I16" s="22">
        <f>C16*$J$5/(I$7/1000000)/1000000000</f>
        <v>29.380645161290321</v>
      </c>
      <c r="J16" s="22">
        <f>D16*$J$5/(J$7/1000000)/1000000000</f>
        <v>28.88372093023256</v>
      </c>
      <c r="K16" s="22">
        <f>E16*$J$5/(K$7/1000000)/1000000000</f>
        <v>37.15384615384616</v>
      </c>
      <c r="L16" s="23">
        <v>1</v>
      </c>
      <c r="M16" s="23">
        <v>1</v>
      </c>
      <c r="N16" s="23">
        <v>1</v>
      </c>
      <c r="O16" s="23">
        <v>1</v>
      </c>
      <c r="P16" s="23">
        <v>1</v>
      </c>
      <c r="Q16" s="23">
        <v>1</v>
      </c>
      <c r="R16" s="44">
        <f t="shared" si="4"/>
        <v>86.556213017751475</v>
      </c>
      <c r="S16" s="44">
        <f t="shared" si="0"/>
        <v>29.380645161290321</v>
      </c>
      <c r="T16" s="44">
        <f t="shared" si="0"/>
        <v>28.88372093023256</v>
      </c>
      <c r="U16" s="44">
        <f t="shared" si="0"/>
        <v>37.15384615384616</v>
      </c>
      <c r="V16" s="22">
        <f t="shared" si="5"/>
        <v>168.1457378370628</v>
      </c>
      <c r="W16" s="22">
        <f t="shared" si="6"/>
        <v>5.8113059033989281</v>
      </c>
      <c r="X16" s="22">
        <f t="shared" si="7"/>
        <v>2.0638282647584978</v>
      </c>
      <c r="Y16" s="22">
        <f t="shared" si="1"/>
        <v>7.4307692307692328</v>
      </c>
      <c r="Z16" s="22">
        <f t="shared" si="2"/>
        <v>1.6174883720930235</v>
      </c>
      <c r="AA16" s="22">
        <f t="shared" si="8"/>
        <v>3.5256774193548384</v>
      </c>
      <c r="AB16" s="21">
        <f t="shared" si="9"/>
        <v>2.6399693138669279E-2</v>
      </c>
      <c r="AC16" s="21">
        <f t="shared" si="9"/>
        <v>1.7546213476446037E-3</v>
      </c>
      <c r="AD16" s="21">
        <f t="shared" si="9"/>
        <v>4.9850924269528938E-4</v>
      </c>
      <c r="AE16" s="21">
        <f t="shared" si="9"/>
        <v>2.2435897435897443E-3</v>
      </c>
      <c r="AF16" s="21">
        <f t="shared" si="9"/>
        <v>4.8837209302325592E-4</v>
      </c>
      <c r="AG16" s="21">
        <f t="shared" si="9"/>
        <v>1.1922580645161289E-2</v>
      </c>
      <c r="AH16" s="21">
        <v>0</v>
      </c>
      <c r="AI16" s="25">
        <f t="shared" si="3"/>
        <v>0.03</v>
      </c>
      <c r="AK16" s="53">
        <f t="shared" si="10"/>
        <v>7.3307366210783459E-2</v>
      </c>
    </row>
    <row r="17" spans="1:37" x14ac:dyDescent="0.25">
      <c r="A17" s="20" t="s">
        <v>29</v>
      </c>
      <c r="B17" s="21">
        <v>0.13</v>
      </c>
      <c r="C17" s="21">
        <v>0.06</v>
      </c>
      <c r="D17" s="21">
        <v>2.4E-2</v>
      </c>
      <c r="E17" s="21">
        <v>0.37</v>
      </c>
      <c r="F17" s="21">
        <v>0</v>
      </c>
      <c r="G17" s="21">
        <v>0.02</v>
      </c>
      <c r="H17" s="22">
        <f>B17*$J$5/(H$7/1000000)/1000000000</f>
        <v>21.230769230769234</v>
      </c>
      <c r="I17" s="22">
        <f>C17*$J$5/(I$7/1000000)/1000000000</f>
        <v>16.025806451612905</v>
      </c>
      <c r="J17" s="22">
        <f>D17*$J$5/(J$7/1000000)/1000000000</f>
        <v>7.7023255813953497</v>
      </c>
      <c r="K17" s="22">
        <f>E17*$J$5/(K$7/1000000)/1000000000</f>
        <v>98.192307692307693</v>
      </c>
      <c r="L17" s="23">
        <v>1</v>
      </c>
      <c r="M17" s="23">
        <v>1</v>
      </c>
      <c r="N17" s="23">
        <v>1</v>
      </c>
      <c r="O17" s="23">
        <v>1</v>
      </c>
      <c r="P17" s="23">
        <v>1</v>
      </c>
      <c r="Q17" s="23">
        <v>1</v>
      </c>
      <c r="R17" s="44">
        <f t="shared" si="4"/>
        <v>21.230769230769234</v>
      </c>
      <c r="S17" s="44">
        <f t="shared" si="0"/>
        <v>16.025806451612905</v>
      </c>
      <c r="T17" s="44">
        <f t="shared" si="0"/>
        <v>7.7023255813953497</v>
      </c>
      <c r="U17" s="44">
        <f t="shared" si="0"/>
        <v>98.192307692307693</v>
      </c>
      <c r="V17" s="22">
        <f t="shared" si="5"/>
        <v>119.38426427376075</v>
      </c>
      <c r="W17" s="22">
        <f t="shared" si="6"/>
        <v>9.3187277280858698</v>
      </c>
      <c r="X17" s="22">
        <f t="shared" si="7"/>
        <v>4.0817388193202149</v>
      </c>
      <c r="Y17" s="22">
        <f t="shared" si="1"/>
        <v>19.638461538461542</v>
      </c>
      <c r="Z17" s="22">
        <f t="shared" si="2"/>
        <v>0.43133023255813968</v>
      </c>
      <c r="AA17" s="22">
        <f t="shared" si="8"/>
        <v>1.9230967741935485</v>
      </c>
      <c r="AB17" s="21">
        <f t="shared" si="9"/>
        <v>1.8743906226556639E-2</v>
      </c>
      <c r="AC17" s="21">
        <f t="shared" si="9"/>
        <v>2.8136255217650575E-3</v>
      </c>
      <c r="AD17" s="21">
        <f t="shared" si="9"/>
        <v>9.8592725104353009E-4</v>
      </c>
      <c r="AE17" s="21">
        <f t="shared" si="9"/>
        <v>5.929487179487181E-3</v>
      </c>
      <c r="AF17" s="21">
        <f t="shared" si="9"/>
        <v>1.3023255813953492E-4</v>
      </c>
      <c r="AG17" s="21">
        <f t="shared" si="9"/>
        <v>6.5032258064516126E-3</v>
      </c>
      <c r="AH17" s="21">
        <v>0</v>
      </c>
      <c r="AI17" s="25">
        <f t="shared" si="3"/>
        <v>0.02</v>
      </c>
      <c r="AK17" s="53">
        <f t="shared" si="10"/>
        <v>5.5106404543443566E-2</v>
      </c>
    </row>
    <row r="18" spans="1:37" x14ac:dyDescent="0.25">
      <c r="A18" s="9" t="s">
        <v>30</v>
      </c>
      <c r="B18" s="21">
        <v>1.2E-2</v>
      </c>
      <c r="C18" s="21">
        <v>0.21</v>
      </c>
      <c r="D18" s="21">
        <v>6.0000000000000001E-3</v>
      </c>
      <c r="E18" s="21">
        <v>1.7999999999999999E-2</v>
      </c>
      <c r="F18" s="21">
        <v>0</v>
      </c>
      <c r="G18" s="21">
        <v>0.35</v>
      </c>
      <c r="H18" s="22">
        <f>B18*$J$5/(H$7/1000000)/1000000000</f>
        <v>1.9597633136094674</v>
      </c>
      <c r="I18" s="22">
        <f>C18*$J$5/(I$7/1000000)/1000000000</f>
        <v>56.090322580645164</v>
      </c>
      <c r="J18" s="22">
        <f>D18*$J$5/(J$7/1000000)/1000000000</f>
        <v>1.9255813953488374</v>
      </c>
      <c r="K18" s="22">
        <f>E18*$J$5/(K$7/1000000)/1000000000</f>
        <v>4.7769230769230768</v>
      </c>
      <c r="L18" s="23">
        <v>1</v>
      </c>
      <c r="M18" s="23">
        <v>1</v>
      </c>
      <c r="N18" s="23">
        <v>1</v>
      </c>
      <c r="O18" s="23">
        <v>1</v>
      </c>
      <c r="P18" s="23">
        <v>1</v>
      </c>
      <c r="Q18" s="23">
        <v>1</v>
      </c>
      <c r="R18" s="44">
        <f t="shared" si="4"/>
        <v>1.9597633136094674</v>
      </c>
      <c r="S18" s="44">
        <f t="shared" si="0"/>
        <v>56.090322580645164</v>
      </c>
      <c r="T18" s="44">
        <f t="shared" si="0"/>
        <v>1.9255813953488374</v>
      </c>
      <c r="U18" s="44">
        <f t="shared" si="0"/>
        <v>4.7769230769230768</v>
      </c>
      <c r="V18" s="22">
        <f>($R18*V$2+0+$T18*V$4+$U18*V$5)*1.14</f>
        <v>6.683556295582771</v>
      </c>
      <c r="W18" s="22">
        <f t="shared" si="6"/>
        <v>0.58982039355992844</v>
      </c>
      <c r="X18" s="22">
        <f t="shared" si="7"/>
        <v>0.22958855098389985</v>
      </c>
      <c r="Y18" s="22">
        <f t="shared" si="1"/>
        <v>0.95538461538461539</v>
      </c>
      <c r="Z18" s="22">
        <f t="shared" si="2"/>
        <v>0.10783255813953492</v>
      </c>
      <c r="AA18" s="22">
        <f>$R18*AA$2+$S18*1+$T18*AA$4+$U18*AA$5</f>
        <v>56.090322580645164</v>
      </c>
      <c r="AB18" s="21">
        <f t="shared" si="9"/>
        <v>1.0493506261180681E-3</v>
      </c>
      <c r="AC18" s="21">
        <f t="shared" si="9"/>
        <v>1.7808586762075137E-4</v>
      </c>
      <c r="AD18" s="21">
        <f t="shared" si="9"/>
        <v>5.5456171735241512E-5</v>
      </c>
      <c r="AE18" s="21">
        <f t="shared" si="9"/>
        <v>2.8846153846153843E-4</v>
      </c>
      <c r="AF18" s="21">
        <f t="shared" si="9"/>
        <v>3.2558139534883731E-5</v>
      </c>
      <c r="AG18" s="21">
        <f t="shared" si="9"/>
        <v>0.18967741935483873</v>
      </c>
      <c r="AH18" s="21">
        <v>0</v>
      </c>
      <c r="AI18" s="25">
        <f>G18*$L18*N$18</f>
        <v>0.35</v>
      </c>
      <c r="AK18" s="53">
        <f t="shared" si="10"/>
        <v>0.54128133169830916</v>
      </c>
    </row>
    <row r="19" spans="1:37" x14ac:dyDescent="0.25">
      <c r="A19" s="26" t="s">
        <v>31</v>
      </c>
      <c r="B19" s="21">
        <v>0.6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>
        <f>B19*$J$5/(H$7/1000000)/1000000000</f>
        <v>97.988165680473372</v>
      </c>
      <c r="I19" s="22">
        <f>C19*$J$5/(I$7/1000000)/1000000000</f>
        <v>0</v>
      </c>
      <c r="J19" s="22">
        <f>D19*$J$5/(J$7/1000000)/1000000000</f>
        <v>0</v>
      </c>
      <c r="K19" s="22">
        <f>E19*$J$5/(K$7/1000000)/1000000000</f>
        <v>0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44">
        <f t="shared" si="4"/>
        <v>97.988165680473372</v>
      </c>
      <c r="S19" s="44">
        <f t="shared" si="0"/>
        <v>0</v>
      </c>
      <c r="T19" s="44">
        <f t="shared" si="0"/>
        <v>0</v>
      </c>
      <c r="U19" s="44">
        <f t="shared" si="0"/>
        <v>0</v>
      </c>
      <c r="V19" s="22">
        <f t="shared" ref="V19:V20" si="11">($R19*V$2+$S19*V$3+$T19*V$4+$U19*V$5)*1.14</f>
        <v>111.70650887573963</v>
      </c>
      <c r="W19" s="22">
        <f t="shared" si="6"/>
        <v>0</v>
      </c>
      <c r="X19" s="22">
        <f t="shared" si="7"/>
        <v>0</v>
      </c>
      <c r="Y19" s="22">
        <f t="shared" si="1"/>
        <v>0</v>
      </c>
      <c r="Z19" s="22">
        <f t="shared" si="2"/>
        <v>0</v>
      </c>
      <c r="AA19" s="22">
        <f t="shared" si="8"/>
        <v>0</v>
      </c>
      <c r="AB19" s="21">
        <f t="shared" si="9"/>
        <v>1.7538461538461537E-2</v>
      </c>
      <c r="AC19" s="21">
        <f t="shared" si="9"/>
        <v>0</v>
      </c>
      <c r="AD19" s="21">
        <f t="shared" si="9"/>
        <v>0</v>
      </c>
      <c r="AE19" s="21">
        <f t="shared" si="9"/>
        <v>0</v>
      </c>
      <c r="AF19" s="21">
        <f t="shared" si="9"/>
        <v>0</v>
      </c>
      <c r="AG19" s="21">
        <f t="shared" si="9"/>
        <v>0</v>
      </c>
      <c r="AH19" s="21">
        <v>0</v>
      </c>
      <c r="AI19" s="25">
        <f t="shared" ref="AI19:AI20" si="12">G19*$L19*N$18</f>
        <v>0</v>
      </c>
      <c r="AK19" s="53">
        <f t="shared" si="10"/>
        <v>1.7538461538461537E-2</v>
      </c>
    </row>
    <row r="20" spans="1:37" x14ac:dyDescent="0.25">
      <c r="A20" s="20" t="s">
        <v>32</v>
      </c>
      <c r="B20" s="21">
        <v>0.06</v>
      </c>
      <c r="C20" s="21">
        <v>3.2000000000000001E-2</v>
      </c>
      <c r="D20" s="21">
        <v>1.6E-2</v>
      </c>
      <c r="E20" s="21">
        <v>0</v>
      </c>
      <c r="F20" s="21">
        <v>0.28799999999999998</v>
      </c>
      <c r="G20" s="21">
        <v>0.01</v>
      </c>
      <c r="H20" s="22">
        <f>B20*$J$5/(H$7/1000000)/1000000000</f>
        <v>9.7988165680473394</v>
      </c>
      <c r="I20" s="22">
        <f>C20*$J$5/(I$7/1000000)/1000000000</f>
        <v>8.5470967741935482</v>
      </c>
      <c r="J20" s="22">
        <f>D20*$J$5/(J$7/1000000)/1000000000</f>
        <v>5.1348837209302332</v>
      </c>
      <c r="K20" s="22">
        <f>E20*$J$5/(K$7/1000000)/1000000000</f>
        <v>0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44">
        <f t="shared" si="4"/>
        <v>9.7988165680473394</v>
      </c>
      <c r="S20" s="44">
        <f t="shared" si="0"/>
        <v>8.5470967741935482</v>
      </c>
      <c r="T20" s="44">
        <f t="shared" si="0"/>
        <v>5.1348837209302332</v>
      </c>
      <c r="U20" s="44">
        <f t="shared" si="0"/>
        <v>0</v>
      </c>
      <c r="V20" s="22">
        <f t="shared" si="11"/>
        <v>21.735379301677494</v>
      </c>
      <c r="W20" s="22">
        <f t="shared" si="6"/>
        <v>0.45186976744186058</v>
      </c>
      <c r="X20" s="22">
        <f t="shared" si="7"/>
        <v>0.10269767441860467</v>
      </c>
      <c r="Y20" s="22">
        <f t="shared" si="1"/>
        <v>0</v>
      </c>
      <c r="Z20" s="22">
        <f t="shared" si="2"/>
        <v>0.2875534883720931</v>
      </c>
      <c r="AA20" s="22">
        <f t="shared" si="8"/>
        <v>1.0256516129032258</v>
      </c>
      <c r="AB20" s="21">
        <f t="shared" si="9"/>
        <v>3.4125595521957417E-3</v>
      </c>
      <c r="AC20" s="21">
        <f t="shared" si="9"/>
        <v>1.3643410852713184E-4</v>
      </c>
      <c r="AD20" s="21">
        <f t="shared" si="9"/>
        <v>2.4806201550387602E-5</v>
      </c>
      <c r="AE20" s="21">
        <f t="shared" si="9"/>
        <v>0</v>
      </c>
      <c r="AF20" s="21">
        <f t="shared" si="9"/>
        <v>8.6821705426356612E-5</v>
      </c>
      <c r="AG20" s="21">
        <f t="shared" si="9"/>
        <v>3.4683870967741936E-3</v>
      </c>
      <c r="AH20" s="25">
        <f>F20*$L20</f>
        <v>0.28799999999999998</v>
      </c>
      <c r="AI20" s="25">
        <f t="shared" si="12"/>
        <v>0.01</v>
      </c>
      <c r="AK20" s="53">
        <f t="shared" si="10"/>
        <v>0.30512900866447379</v>
      </c>
    </row>
    <row r="21" spans="1:37" x14ac:dyDescent="0.25">
      <c r="A21" s="27" t="s">
        <v>33</v>
      </c>
      <c r="B21" s="21">
        <f>SUM(B10:B20)</f>
        <v>3.1480000000000001</v>
      </c>
      <c r="C21" s="21">
        <f t="shared" ref="C21:G21" si="13">SUM(C10:C20)</f>
        <v>2.7560000000000002</v>
      </c>
      <c r="D21" s="21">
        <f t="shared" si="13"/>
        <v>2.4079999999999999</v>
      </c>
      <c r="E21" s="21">
        <f t="shared" si="13"/>
        <v>1.792</v>
      </c>
      <c r="F21" s="21">
        <f t="shared" si="13"/>
        <v>1.35</v>
      </c>
      <c r="G21" s="21">
        <f t="shared" si="13"/>
        <v>0.56399999999999995</v>
      </c>
      <c r="H21" s="22">
        <f>B21*$J$5/(H$7/1000000)/1000000000</f>
        <v>514.11124260355041</v>
      </c>
      <c r="I21" s="22">
        <f>C21*$J$5/(I$7/1000000)/1000000000</f>
        <v>736.11870967741947</v>
      </c>
      <c r="J21" s="22">
        <f>D21*$J$5/(J$7/1000000)/1000000000</f>
        <v>772.8</v>
      </c>
      <c r="K21" s="22">
        <f>E21*$J$5/(K$7/1000000)/1000000000</f>
        <v>475.56923076923078</v>
      </c>
      <c r="R21" s="21">
        <f t="shared" ref="R21:U21" si="14">SUM(R10:R20)</f>
        <v>514.11124260355029</v>
      </c>
      <c r="S21" s="21">
        <f t="shared" si="14"/>
        <v>736.11870967741925</v>
      </c>
      <c r="T21" s="21">
        <f t="shared" si="14"/>
        <v>772.80000000000007</v>
      </c>
      <c r="U21" s="21">
        <f t="shared" si="14"/>
        <v>475.56923076923078</v>
      </c>
      <c r="V21" s="22">
        <f>SUM(V10:V20)</f>
        <v>1936.4898421958389</v>
      </c>
      <c r="W21" s="22">
        <f>SUM(W10:W20)</f>
        <v>109.85649230769233</v>
      </c>
      <c r="X21" s="22">
        <f>U21*X5+T21*X4</f>
        <v>34.478769230769231</v>
      </c>
      <c r="Y21" s="22">
        <f>SUM(Y10:Y20)</f>
        <v>95.113846153846168</v>
      </c>
      <c r="Z21" s="22">
        <f>SUM(Z10:Z20)</f>
        <v>43.276800000000001</v>
      </c>
      <c r="AA21" s="22">
        <f>SUM(AA10:AA20)</f>
        <v>137.69372903225809</v>
      </c>
      <c r="AB21" s="21">
        <f>V21/$J$5*1000000000*AB7/1000000</f>
        <v>0.30403826024813896</v>
      </c>
      <c r="AC21" s="21">
        <f>W21/$J$5*1000000000*AC7/1000000</f>
        <v>3.3169230769230777E-2</v>
      </c>
      <c r="AD21" s="21">
        <f>X21/$J$5*1000000000*AD7/1000000</f>
        <v>8.3282051282051288E-3</v>
      </c>
      <c r="AE21" s="21">
        <f>Y21/$J$5*1000000000*AE7/1000000</f>
        <v>2.8717948717948721E-2</v>
      </c>
      <c r="AF21" s="21">
        <f>Z21/$J$5*1000000000*AF7/1000000</f>
        <v>1.3066666666666667E-2</v>
      </c>
      <c r="AG21" s="21">
        <f>AA21/$J$5*1000000000*AG7/1000000</f>
        <v>0.46563096774193558</v>
      </c>
      <c r="AH21" s="21">
        <f t="shared" ref="AH21:AI21" si="15">SUM(AH10:AH20)</f>
        <v>1.35</v>
      </c>
      <c r="AI21" s="21">
        <f t="shared" si="15"/>
        <v>0.56399999999999995</v>
      </c>
      <c r="AK21" s="53">
        <f t="shared" si="10"/>
        <v>2.766951279272126</v>
      </c>
    </row>
    <row r="22" spans="1:37" ht="15.75" thickBot="1" x14ac:dyDescent="0.3">
      <c r="AB22" s="28">
        <f>SUM(AB21:AI21)</f>
        <v>2.766951279272126</v>
      </c>
      <c r="AC22" s="29"/>
      <c r="AD22" s="29"/>
      <c r="AE22" s="29"/>
      <c r="AF22" s="29"/>
      <c r="AG22" s="29"/>
      <c r="AH22" s="29"/>
      <c r="AI22" s="30"/>
    </row>
    <row r="23" spans="1:37" x14ac:dyDescent="0.25">
      <c r="W23" t="s">
        <v>56</v>
      </c>
      <c r="AB23" s="54"/>
      <c r="AC23" s="54"/>
      <c r="AD23" s="54"/>
      <c r="AE23" s="54"/>
      <c r="AF23" s="54"/>
      <c r="AG23" s="54"/>
      <c r="AH23" s="54"/>
      <c r="AI23" s="54"/>
    </row>
    <row r="24" spans="1:37" x14ac:dyDescent="0.25">
      <c r="V24" s="36">
        <f>Y21+W24</f>
        <v>158.45966769230773</v>
      </c>
      <c r="W24" s="36">
        <f>Y21*0.666</f>
        <v>63.34582153846155</v>
      </c>
      <c r="AB24" s="31"/>
      <c r="AC24" s="32"/>
      <c r="AD24" s="32"/>
      <c r="AE24" s="32"/>
      <c r="AF24" s="32"/>
      <c r="AG24" s="32"/>
      <c r="AH24" s="32"/>
      <c r="AI24" s="32"/>
    </row>
    <row r="25" spans="1:37" x14ac:dyDescent="0.25">
      <c r="V25" s="36"/>
      <c r="W25" s="36"/>
      <c r="AB25" s="31"/>
      <c r="AC25" s="32"/>
      <c r="AD25" s="32"/>
      <c r="AE25" s="32"/>
      <c r="AF25" s="32"/>
      <c r="AG25" s="32"/>
      <c r="AH25" s="32"/>
      <c r="AI25" s="32"/>
    </row>
    <row r="26" spans="1:37" x14ac:dyDescent="0.25">
      <c r="U26" s="1" t="s">
        <v>57</v>
      </c>
      <c r="V26" s="55">
        <f>V21+V24</f>
        <v>2094.9495098881466</v>
      </c>
      <c r="W26" s="36"/>
      <c r="AE26" s="32"/>
      <c r="AF26" s="32"/>
      <c r="AG26" s="32"/>
      <c r="AH26" s="32"/>
      <c r="AI26" s="32"/>
    </row>
    <row r="27" spans="1:37" x14ac:dyDescent="0.25">
      <c r="U27" s="1" t="s">
        <v>34</v>
      </c>
      <c r="V27" s="55"/>
      <c r="AB27" s="58" t="s">
        <v>61</v>
      </c>
      <c r="AC27" s="32"/>
      <c r="AD27" s="32"/>
      <c r="AE27" s="32"/>
      <c r="AF27" s="32"/>
      <c r="AG27" s="32"/>
      <c r="AH27" s="32"/>
      <c r="AI27" s="32"/>
    </row>
    <row r="28" spans="1:37" x14ac:dyDescent="0.25">
      <c r="U28" s="56" t="s">
        <v>35</v>
      </c>
      <c r="V28" s="34">
        <v>22</v>
      </c>
      <c r="W28" s="35"/>
      <c r="AB28" s="59" t="s">
        <v>60</v>
      </c>
      <c r="AC28" s="59"/>
      <c r="AD28" s="59"/>
      <c r="AE28" s="59" t="s">
        <v>62</v>
      </c>
      <c r="AF28" s="59"/>
      <c r="AG28" s="59"/>
    </row>
    <row r="29" spans="1:37" x14ac:dyDescent="0.25">
      <c r="Q29" s="34"/>
      <c r="R29" s="34"/>
      <c r="S29" s="34"/>
      <c r="T29" s="34"/>
      <c r="U29" s="56" t="s">
        <v>38</v>
      </c>
      <c r="V29" s="34">
        <v>330</v>
      </c>
      <c r="W29" s="34"/>
      <c r="AB29" s="40">
        <v>1000</v>
      </c>
      <c r="AC29" s="40"/>
      <c r="AD29" s="40"/>
      <c r="AE29" s="40">
        <f>V29/AB29*1000</f>
        <v>330</v>
      </c>
      <c r="AF29" s="40"/>
      <c r="AG29" s="40"/>
    </row>
    <row r="30" spans="1:37" x14ac:dyDescent="0.25">
      <c r="Q30" s="34"/>
      <c r="R30" s="34"/>
      <c r="S30" s="34"/>
      <c r="T30" s="34"/>
      <c r="U30" s="56" t="s">
        <v>37</v>
      </c>
      <c r="V30" s="34">
        <v>700</v>
      </c>
      <c r="W30" s="34"/>
      <c r="AB30" s="40">
        <v>1700</v>
      </c>
      <c r="AC30" s="40"/>
      <c r="AD30" s="40"/>
      <c r="AE30" s="60">
        <f>V30/AB30*1000</f>
        <v>411.76470588235293</v>
      </c>
      <c r="AF30" s="60"/>
      <c r="AG30" s="60"/>
    </row>
    <row r="31" spans="1:37" x14ac:dyDescent="0.25">
      <c r="Q31" s="34"/>
      <c r="R31" s="34"/>
      <c r="S31" s="34"/>
      <c r="T31" s="34"/>
      <c r="U31" s="56" t="s">
        <v>36</v>
      </c>
      <c r="V31" s="34">
        <v>950</v>
      </c>
      <c r="W31" s="34"/>
      <c r="AB31" s="40">
        <v>1400</v>
      </c>
      <c r="AC31" s="40"/>
      <c r="AD31" s="40"/>
      <c r="AE31" s="60">
        <f>V31/AB31*1000</f>
        <v>678.57142857142856</v>
      </c>
      <c r="AF31" s="60"/>
      <c r="AG31" s="60"/>
      <c r="AH31" s="55"/>
    </row>
    <row r="32" spans="1:37" x14ac:dyDescent="0.25">
      <c r="Q32" s="34"/>
      <c r="R32" s="34"/>
      <c r="S32" s="34"/>
      <c r="T32" s="34"/>
      <c r="U32" s="56" t="s">
        <v>58</v>
      </c>
      <c r="V32" s="34">
        <v>82</v>
      </c>
      <c r="W32" s="34"/>
    </row>
    <row r="33" spans="2:23" x14ac:dyDescent="0.25">
      <c r="Q33" s="34"/>
      <c r="R33" s="34"/>
      <c r="S33" s="34"/>
      <c r="T33" s="34"/>
      <c r="U33" s="57" t="s">
        <v>59</v>
      </c>
      <c r="V33" s="37">
        <v>10</v>
      </c>
      <c r="W33" s="34"/>
    </row>
    <row r="34" spans="2:23" x14ac:dyDescent="0.25">
      <c r="Q34" s="34"/>
      <c r="R34" s="34"/>
      <c r="S34" s="34"/>
      <c r="T34" s="34"/>
      <c r="U34" s="34"/>
      <c r="W34" s="34"/>
    </row>
    <row r="35" spans="2:23" x14ac:dyDescent="0.25">
      <c r="W35" s="37"/>
    </row>
    <row r="48" spans="2:23" x14ac:dyDescent="0.25">
      <c r="B48" s="33"/>
      <c r="C48" s="33"/>
      <c r="D48" s="33"/>
      <c r="E48" s="33"/>
      <c r="G48" s="33"/>
      <c r="H48" s="33"/>
    </row>
    <row r="49" spans="2:8" x14ac:dyDescent="0.25">
      <c r="B49" s="33"/>
      <c r="C49" s="33"/>
      <c r="D49" s="33"/>
      <c r="E49" s="33"/>
      <c r="F49" s="33"/>
      <c r="G49" s="33"/>
      <c r="H49" s="33"/>
    </row>
  </sheetData>
  <mergeCells count="23">
    <mergeCell ref="AB31:AD31"/>
    <mergeCell ref="AE31:AG31"/>
    <mergeCell ref="AB22:AI22"/>
    <mergeCell ref="AB28:AD28"/>
    <mergeCell ref="AE28:AG28"/>
    <mergeCell ref="AB29:AD29"/>
    <mergeCell ref="AE29:AG29"/>
    <mergeCell ref="AB30:AD30"/>
    <mergeCell ref="AE30:AG30"/>
    <mergeCell ref="AB6:AG6"/>
    <mergeCell ref="B9:G9"/>
    <mergeCell ref="H9:K9"/>
    <mergeCell ref="L9:Q9"/>
    <mergeCell ref="R9:U9"/>
    <mergeCell ref="V9:AA9"/>
    <mergeCell ref="AB9:AI9"/>
    <mergeCell ref="V1:AA1"/>
    <mergeCell ref="J5:K5"/>
    <mergeCell ref="B6:G6"/>
    <mergeCell ref="H6:K6"/>
    <mergeCell ref="L6:Q6"/>
    <mergeCell ref="R6:U6"/>
    <mergeCell ref="V6:AA6"/>
  </mergeCells>
  <conditionalFormatting sqref="AB21:AI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alle 3 Strategien</vt:lpstr>
      <vt:lpstr>Effizienz und EE</vt:lpstr>
      <vt:lpstr>Lebensstil und EE</vt:lpstr>
      <vt:lpstr>nur 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2018-03-30T08:34:36Z</dcterms:created>
  <dcterms:modified xsi:type="dcterms:W3CDTF">2018-03-30T10:41:29Z</dcterms:modified>
</cp:coreProperties>
</file>